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ebora.coelho\Downloads\"/>
    </mc:Choice>
  </mc:AlternateContent>
  <xr:revisionPtr revIDLastSave="0" documentId="13_ncr:1_{5BAB43DA-5D85-4AE7-9E4B-7092D906BE9F}" xr6:coauthVersionLast="47" xr6:coauthVersionMax="47" xr10:uidLastSave="{00000000-0000-0000-0000-000000000000}"/>
  <bookViews>
    <workbookView xWindow="31590" yWindow="2025" windowWidth="23550" windowHeight="11925" tabRatio="830" activeTab="5" xr2:uid="{00000000-000D-0000-FFFF-FFFF00000000}"/>
  </bookViews>
  <sheets>
    <sheet name="Recepcionista" sheetId="9" r:id="rId1"/>
    <sheet name="Uniforme" sheetId="44" r:id="rId2"/>
    <sheet name="Conta Vinculada" sheetId="42" r:id="rId3"/>
    <sheet name="Memória C.S." sheetId="41" r:id="rId4"/>
    <sheet name="Sob Demanda" sheetId="45" r:id="rId5"/>
    <sheet name="Resumo Geral" sheetId="40" r:id="rId6"/>
  </sheets>
  <definedNames>
    <definedName name="Remuneraçã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1" i="9" l="1"/>
  <c r="C99" i="9"/>
  <c r="C78" i="9"/>
  <c r="C69" i="9"/>
  <c r="C66" i="9"/>
  <c r="C60" i="9"/>
  <c r="C58" i="9"/>
  <c r="C56" i="9"/>
  <c r="C55" i="9"/>
  <c r="D40" i="9"/>
  <c r="C39" i="9"/>
  <c r="D39" i="9" s="1"/>
  <c r="D37" i="9"/>
  <c r="C33" i="9"/>
  <c r="C57" i="9" s="1"/>
  <c r="C20" i="9"/>
  <c r="C21" i="9" s="1"/>
  <c r="D10" i="9"/>
  <c r="D12" i="9" s="1"/>
  <c r="D9" i="9"/>
  <c r="D13" i="9" l="1"/>
  <c r="D44" i="9"/>
  <c r="D50" i="9" s="1"/>
  <c r="C59" i="9"/>
  <c r="C61" i="9" s="1"/>
  <c r="C72" i="9"/>
  <c r="C73" i="9" s="1"/>
  <c r="C92" i="9" l="1"/>
  <c r="D110" i="9"/>
  <c r="D69" i="9"/>
  <c r="D58" i="9"/>
  <c r="D55" i="9"/>
  <c r="D27" i="9"/>
  <c r="D19" i="9"/>
  <c r="D72" i="9"/>
  <c r="D68" i="9"/>
  <c r="D60" i="9"/>
  <c r="D57" i="9"/>
  <c r="D31" i="9"/>
  <c r="D25" i="9"/>
  <c r="D18" i="9"/>
  <c r="D30" i="9"/>
  <c r="D70" i="9"/>
  <c r="D67" i="9"/>
  <c r="D28" i="9"/>
  <c r="D66" i="9"/>
  <c r="D59" i="9"/>
  <c r="D56" i="9"/>
  <c r="D29" i="9"/>
  <c r="D77" i="9"/>
  <c r="D78" i="9" s="1"/>
  <c r="D83" i="9" s="1"/>
  <c r="D20" i="9"/>
  <c r="D32" i="9"/>
  <c r="D26" i="9"/>
  <c r="D33" i="9" l="1"/>
  <c r="D49" i="9" s="1"/>
  <c r="D61" i="9"/>
  <c r="D112" i="9" s="1"/>
  <c r="D21" i="9"/>
  <c r="D48" i="9" l="1"/>
  <c r="D51" i="9" s="1"/>
  <c r="D111" i="9" l="1"/>
  <c r="D71" i="9"/>
  <c r="D73" i="9" s="1"/>
  <c r="D82" i="9" l="1"/>
  <c r="D84" i="9" s="1"/>
  <c r="D113" i="9" s="1"/>
  <c r="D92" i="9"/>
  <c r="T92" i="41" l="1"/>
  <c r="F9" i="44" l="1"/>
  <c r="G9" i="44" s="1"/>
  <c r="F24" i="44"/>
  <c r="G24" i="44" s="1"/>
  <c r="F25" i="44"/>
  <c r="G25" i="44" s="1"/>
  <c r="F23" i="44"/>
  <c r="G23" i="44" s="1"/>
  <c r="F22" i="44"/>
  <c r="G22" i="44" s="1"/>
  <c r="F21" i="44"/>
  <c r="G21" i="44" s="1"/>
  <c r="F20" i="44"/>
  <c r="G20" i="44" s="1"/>
  <c r="F19" i="44"/>
  <c r="G19" i="44" s="1"/>
  <c r="F18" i="44"/>
  <c r="G18" i="44" s="1"/>
  <c r="F17" i="44"/>
  <c r="G17" i="44" s="1"/>
  <c r="F12" i="44"/>
  <c r="G12" i="44" s="1"/>
  <c r="F11" i="44"/>
  <c r="G11" i="44" s="1"/>
  <c r="F10" i="44"/>
  <c r="G10" i="44" s="1"/>
  <c r="F8" i="44"/>
  <c r="G8" i="44" s="1"/>
  <c r="F7" i="44"/>
  <c r="G7" i="44" s="1"/>
  <c r="F6" i="44"/>
  <c r="G6" i="44" s="1"/>
  <c r="F5" i="44"/>
  <c r="G5" i="44" s="1"/>
  <c r="F4" i="44"/>
  <c r="G4" i="44" s="1"/>
  <c r="T50" i="41"/>
  <c r="F26" i="44" l="1"/>
  <c r="G26" i="44" s="1"/>
  <c r="F13" i="44"/>
  <c r="G13" i="44" s="1"/>
  <c r="F14" i="44" l="1"/>
  <c r="G14" i="44"/>
  <c r="F27" i="44"/>
  <c r="G27" i="44" s="1"/>
  <c r="W54" i="41"/>
  <c r="F28" i="44" l="1"/>
  <c r="G28" i="44" s="1"/>
  <c r="D88" i="9" s="1"/>
  <c r="D91" i="9" s="1"/>
  <c r="D93" i="9" s="1"/>
  <c r="T28" i="41"/>
  <c r="D114" i="9" l="1"/>
  <c r="D115" i="9" s="1"/>
  <c r="D97" i="9"/>
  <c r="D98" i="9" s="1"/>
  <c r="D99" i="9" s="1"/>
  <c r="D100" i="9" s="1"/>
  <c r="D106" i="9" s="1"/>
  <c r="F79" i="41"/>
  <c r="D105" i="9" l="1"/>
  <c r="D104" i="9"/>
  <c r="D103" i="9"/>
  <c r="D102" i="9"/>
  <c r="G4" i="42"/>
  <c r="D101" i="9" l="1"/>
  <c r="D116" i="9" s="1"/>
  <c r="D117" i="9" s="1"/>
  <c r="F92" i="41"/>
  <c r="T86" i="41"/>
  <c r="F86" i="41"/>
  <c r="T79" i="41"/>
  <c r="T74" i="41"/>
  <c r="F74" i="41"/>
  <c r="T67" i="41"/>
  <c r="F67" i="41"/>
  <c r="T63" i="41"/>
  <c r="T57" i="41"/>
  <c r="W61" i="41" s="1"/>
  <c r="T34" i="41"/>
  <c r="W39" i="41" s="1"/>
  <c r="F34" i="41"/>
  <c r="W31" i="41"/>
  <c r="A27" i="41"/>
  <c r="T18" i="41"/>
  <c r="T15" i="41"/>
  <c r="T9" i="41"/>
  <c r="T12" i="41" s="1"/>
  <c r="O23" i="41" s="1"/>
  <c r="T22" i="41" l="1"/>
  <c r="R23" i="41" s="1"/>
  <c r="T23" i="41" s="1"/>
  <c r="T24" i="41" s="1"/>
  <c r="W22" i="41" s="1"/>
  <c r="T104" i="41"/>
  <c r="T108" i="41" s="1"/>
  <c r="B2" i="42" l="1"/>
  <c r="B5" i="42" s="1"/>
  <c r="G5" i="42" l="1"/>
  <c r="E5" i="42"/>
  <c r="D5" i="42"/>
  <c r="C5" i="42"/>
  <c r="F5" i="42"/>
  <c r="D4" i="40" l="1"/>
  <c r="E4" i="40" l="1"/>
  <c r="E5" i="40" s="1"/>
  <c r="E6" i="40" s="1"/>
  <c r="B3" i="45"/>
  <c r="C3" i="45" s="1"/>
  <c r="E3" i="45" s="1"/>
  <c r="E7" i="40" s="1"/>
  <c r="E8" i="40" l="1"/>
</calcChain>
</file>

<file path=xl/sharedStrings.xml><?xml version="1.0" encoding="utf-8"?>
<sst xmlns="http://schemas.openxmlformats.org/spreadsheetml/2006/main" count="424" uniqueCount="265">
  <si>
    <r>
      <t xml:space="preserve">PLANILHA ESTIMATIVA DE UNIFORMES - </t>
    </r>
    <r>
      <rPr>
        <b/>
        <sz val="11"/>
        <color rgb="FF000000"/>
        <rFont val="Calibri"/>
        <family val="2"/>
        <scheme val="minor"/>
      </rPr>
      <t>VALOR MENSAL E ANUAL</t>
    </r>
  </si>
  <si>
    <t>Item</t>
  </si>
  <si>
    <t>CÁLCULO DO VALOR MENSAL A SER GLOSADO DA FATURA E DESTINADO À CONTA VINCULADA</t>
  </si>
  <si>
    <t>Salário Bruto</t>
  </si>
  <si>
    <t>Percentual total a ser destinado à conta vinculada, conforme Decreto Distrital nº 34.649/2013, com redação dada pelo Decreto Distrital nº 36.164/2014 (Anexo).</t>
  </si>
  <si>
    <t>13º salário</t>
  </si>
  <si>
    <t>Férias</t>
  </si>
  <si>
    <t>FGTS</t>
  </si>
  <si>
    <t>Encargos s/ 13º salário</t>
  </si>
  <si>
    <t>Encargos s/ Férias</t>
  </si>
  <si>
    <t>Total</t>
  </si>
  <si>
    <t>Valores</t>
  </si>
  <si>
    <t>RESUMO GERAL</t>
  </si>
  <si>
    <t>Mão de Obra Residente</t>
  </si>
  <si>
    <t>Posto de Trabalho</t>
  </si>
  <si>
    <t>Qtd.</t>
  </si>
  <si>
    <t>V. unit. Mensal</t>
  </si>
  <si>
    <t>V. Mensal</t>
  </si>
  <si>
    <t>Mão de Obra Residente | Custo Total Mensal</t>
  </si>
  <si>
    <t>Mensal</t>
  </si>
  <si>
    <t>Classificação Brasileira de Ocupações (CBO)</t>
  </si>
  <si>
    <t>Carga horária prevista (horas/sem)</t>
  </si>
  <si>
    <t>MÓDULO 1: COMPOSIÇÃO DA REMUNERAÇÃO</t>
  </si>
  <si>
    <t>1.1</t>
  </si>
  <si>
    <t>COMPOSIÇÃO DA REMUNERAÇÃO</t>
  </si>
  <si>
    <t>%</t>
  </si>
  <si>
    <t>VALOR (R$)</t>
  </si>
  <si>
    <t xml:space="preserve">(A) </t>
  </si>
  <si>
    <t>Salário Base</t>
  </si>
  <si>
    <t>CCT</t>
  </si>
  <si>
    <t>(B)</t>
  </si>
  <si>
    <t>Acúmulo de função</t>
  </si>
  <si>
    <t xml:space="preserve">(C) </t>
  </si>
  <si>
    <t>Adicional Noturno (22h a 5h) cada h tem 52,30 (previsao 5h/mes)</t>
  </si>
  <si>
    <t>(D)</t>
  </si>
  <si>
    <t>DSR/h.noturna (dias trabalhado 24/descanso 6)</t>
  </si>
  <si>
    <t>TOTAL</t>
  </si>
  <si>
    <t>MÓDULO 2: ENCARGOS E BENEFÍCIOS ANUAIS, MENSAIS E DIÁRIOS</t>
  </si>
  <si>
    <t>Submódulo 2.1 – 13º Salário, férias e adicional de férias</t>
  </si>
  <si>
    <t>2.1</t>
  </si>
  <si>
    <t>13º SALÁRIO, FÉRIAS E ADICIONAL DE FÉRIAS</t>
  </si>
  <si>
    <t>13º Salário</t>
  </si>
  <si>
    <t>Adicional de Férias</t>
  </si>
  <si>
    <t>Incidência do Submódulo 2.2 Sobre o 13º salário, Férias e Adicional de Férias</t>
  </si>
  <si>
    <t>Submódulo 2.2 – Encargos previdenciários (GPS), Fundo de Garantia por Tempo de Serviço (FGTS) e outras contribuições</t>
  </si>
  <si>
    <t>2.2</t>
  </si>
  <si>
    <t>ENCARGOS PREVIDENCIÁRIOS (GPS), FGTS E OUTRAS CONTRIBUIÇÕES</t>
  </si>
  <si>
    <t xml:space="preserve">% </t>
  </si>
  <si>
    <t>INSS</t>
  </si>
  <si>
    <t xml:space="preserve">(B) </t>
  </si>
  <si>
    <t>Salário Educação</t>
  </si>
  <si>
    <t>RAT x FAP</t>
  </si>
  <si>
    <t xml:space="preserve">(D) </t>
  </si>
  <si>
    <t>SESI ou SESC</t>
  </si>
  <si>
    <t xml:space="preserve">(E) </t>
  </si>
  <si>
    <t>SENAI ou SENAC</t>
  </si>
  <si>
    <t xml:space="preserve">(F) </t>
  </si>
  <si>
    <t>SEBRAE</t>
  </si>
  <si>
    <t>(G)</t>
  </si>
  <si>
    <t>INCRA</t>
  </si>
  <si>
    <t>(H)</t>
  </si>
  <si>
    <t>Submódulo 2.3 – Benefícios mensais e diários</t>
  </si>
  <si>
    <t>2.3</t>
  </si>
  <si>
    <t>BENEFÍCIOS MENSAIS E DIÁRIOS</t>
  </si>
  <si>
    <t>Transporte</t>
  </si>
  <si>
    <t>Desconto Transporte (empregado)</t>
  </si>
  <si>
    <t>(C)</t>
  </si>
  <si>
    <t>Auxílio Saúde: Plano Ambulatorial</t>
  </si>
  <si>
    <t>(E)</t>
  </si>
  <si>
    <t>Seguro de Vida e Assistência Funeral</t>
  </si>
  <si>
    <t>Quadro-Resumo do Módulo 2 – Encargos e Benefícios anuais, mensais e diários</t>
  </si>
  <si>
    <t>Encargos e benefícios anuais, mensais e diários</t>
  </si>
  <si>
    <t>13º (décimo terceiro) Salário, Férias e Adicional de Férias</t>
  </si>
  <si>
    <t>GPS, FGTS e outras contribuições</t>
  </si>
  <si>
    <t>Benefícios Mensais e Diários</t>
  </si>
  <si>
    <t>MÓDULO 3: PROVISÃO PARA RESCISÃO</t>
  </si>
  <si>
    <t>PROVISÃO PARA RESCISÃO</t>
  </si>
  <si>
    <t>(A)</t>
  </si>
  <si>
    <t>Aviso Prévio Indenizado</t>
  </si>
  <si>
    <t>Aviso Prévio Trabalhado</t>
  </si>
  <si>
    <t>Multa do FGTS sobre o Aviso prévio Trabalhado</t>
  </si>
  <si>
    <t>MÓDULO 4: CUSTO DE REPOSIÇÃO DO PROFISSIONAL AUSENTE</t>
  </si>
  <si>
    <t>Submódulo 4.1 – Ausências legais</t>
  </si>
  <si>
    <t>4.1</t>
  </si>
  <si>
    <t>Ausências legais</t>
  </si>
  <si>
    <t>Incidência</t>
  </si>
  <si>
    <t>Ausência por Doença</t>
  </si>
  <si>
    <t>Licença Paternidade</t>
  </si>
  <si>
    <t>Ausência por Acidente de Trabalho</t>
  </si>
  <si>
    <t>Afastamento Maternidade</t>
  </si>
  <si>
    <t>Incidência do Submódulo 2.2 Sobre o Custo de Reposição</t>
  </si>
  <si>
    <t>Submódulo 4.2 – Intrajornada</t>
  </si>
  <si>
    <t>4.2</t>
  </si>
  <si>
    <t>Intrajornada</t>
  </si>
  <si>
    <t>Intervalo para repouso ou alimentação</t>
  </si>
  <si>
    <t>Quadro-Resumo – Módulo 4 – Custo de reposição do profissional ausente</t>
  </si>
  <si>
    <t>CUSTO DE REPOSIÇÃO DO PROFISSIONAL AUSENTE</t>
  </si>
  <si>
    <t xml:space="preserve">4.1 </t>
  </si>
  <si>
    <t xml:space="preserve">4.2 </t>
  </si>
  <si>
    <t>MÓDULO 5: INSUMOS DIVERSOS</t>
  </si>
  <si>
    <t>INSUMOS DIVERSOS</t>
  </si>
  <si>
    <t>EPI</t>
  </si>
  <si>
    <t xml:space="preserve">Outros insumos diversos </t>
  </si>
  <si>
    <t>Total Módulos 1, Submódulo 2.3</t>
  </si>
  <si>
    <t>MÓDULO 6: CUSTOS INDIRETOS, TRIBUTOS E LUCRO</t>
  </si>
  <si>
    <t>CUSTOS INDIRETOS, TRIBUTOS E LUCRO</t>
  </si>
  <si>
    <t>Custos indiretos</t>
  </si>
  <si>
    <t>Lucro</t>
  </si>
  <si>
    <t>Total - Custos Indiretos e Lucro sobre Materiais e Equipamentos</t>
  </si>
  <si>
    <t>Total Módulos 1, 2, 3, 4, 5 Custos Indiretos e Lucro</t>
  </si>
  <si>
    <t>Tributos</t>
  </si>
  <si>
    <t>(C.1)</t>
  </si>
  <si>
    <t>PIS</t>
  </si>
  <si>
    <t>(C.2)</t>
  </si>
  <si>
    <t>COFINS</t>
  </si>
  <si>
    <t xml:space="preserve">(C.3) </t>
  </si>
  <si>
    <t>Tributos Municipais (ISS)</t>
  </si>
  <si>
    <t>(C.4)</t>
  </si>
  <si>
    <t>Outros tributos (CPRB - Lei n. 13.161, de 31 de agosto de 2015)</t>
  </si>
  <si>
    <t>Total a ser pago por funcionário com BDI (Módulos 1, 2, 3, 4, 5 e 6)</t>
  </si>
  <si>
    <t>QUADRO-RESUMO DO CUSTO POR EMPREGADO</t>
  </si>
  <si>
    <t>MÃO-DE-OBRA VINCULADA À EXECUÇÃO CONTRATUAL (VALOR POR EMPREGADO)</t>
  </si>
  <si>
    <t>Módulo 1 – Composição da Remuneração</t>
  </si>
  <si>
    <t>Módulo 2 – Encargos e benefícios anuais, mensais e diários</t>
  </si>
  <si>
    <t>Módulo 3 – Provisão para rescisão</t>
  </si>
  <si>
    <t>Módulo 4 – Custo de reposição do profissional ausente</t>
  </si>
  <si>
    <t>Módulo 5 – Insumos diversos</t>
  </si>
  <si>
    <t>Subtotal (A + B + C + D + E)</t>
  </si>
  <si>
    <t>Módulo 6 – Custos indiretos, tributos e lucro</t>
  </si>
  <si>
    <t>VALOR TOTAL POR EMPREGADO</t>
  </si>
  <si>
    <t>Módulo 02 - Encargos e Benefícios Anuais, Mensais e Diários</t>
  </si>
  <si>
    <t>Submódulo 2.2 - Encargos Previdenciários, FGTS e outras contribuições</t>
  </si>
  <si>
    <t xml:space="preserve">INSS (Art. 22, Inciso I, da Lei nº. 8.212/91) </t>
  </si>
  <si>
    <t>INCRA (Decreto-Lei nº 1.146/70, Lei nº. 2.613/55)</t>
  </si>
  <si>
    <t>Salário Educação (Lei 9.424/96, 9.766/98, Decreto 6.003/06 e Art. 212 § 5º CF)</t>
  </si>
  <si>
    <t>FGTS (Art. 15 da Lei nº 8.036/90, Art. 7º, § 3º da CF)</t>
  </si>
  <si>
    <t>FAP</t>
  </si>
  <si>
    <t xml:space="preserve">SEBRAE (Lei nº 8.029/90, art. 8º, alterados pelas Leis nºs: 8.154/90 e 11.080/04) </t>
  </si>
  <si>
    <t>Submódulo 2.2 - Encargos Previdenciários, FGTS e outras contribuições:</t>
  </si>
  <si>
    <t>[(1/12) x 100%] = 8,33%</t>
  </si>
  <si>
    <t>Gratificação de Natal, instituída pela Lei nº 4.090, de 13 de julho de 1962.</t>
  </si>
  <si>
    <t>1 = ocorrência do evento 13º salário no ano;</t>
  </si>
  <si>
    <t>12 = número de meses no ano</t>
  </si>
  <si>
    <t xml:space="preserve">÷ </t>
  </si>
  <si>
    <t>100% = Remuneração</t>
  </si>
  <si>
    <t>Artigos 7º, XVII, da CF/88 e Arts. 129 a 153 da CLT.</t>
  </si>
  <si>
    <t>[1/3*100%/12] = 2,78 %</t>
  </si>
  <si>
    <t xml:space="preserve">1/3 = adicional de férias </t>
  </si>
  <si>
    <t>12 = número de meses no ano;</t>
  </si>
  <si>
    <t>÷</t>
  </si>
  <si>
    <t>Subtotal</t>
  </si>
  <si>
    <t>Incidência do submódulo 2.2 sobre 13º e adicional de férias</t>
  </si>
  <si>
    <t>x</t>
  </si>
  <si>
    <t>Submódulo 2.4 - Afastamento Maternidade ¹</t>
  </si>
  <si>
    <t>120/365 x 0,3631 x 0,0475 x 100 = 0,57%</t>
  </si>
  <si>
    <t>120 = número de dias de afastamento</t>
  </si>
  <si>
    <t xml:space="preserve"> Afastamento maternidade</t>
  </si>
  <si>
    <t>Art. 7º, Inciso XVIII da CF, Lei 8.212/91, 10.421/02</t>
  </si>
  <si>
    <t>365 = número de dias no ano</t>
  </si>
  <si>
    <t>Submódulo 2.2: 36,80%</t>
  </si>
  <si>
    <t>0,0475 = 4,75 % = média de afastaemnto durante o ano, de acordo com estatísticas do IBGE</t>
  </si>
  <si>
    <t>Submódulo 2.4 - Afastamento Maternidade:</t>
  </si>
  <si>
    <t>Módulo 3 - Provisão para Rescisão</t>
  </si>
  <si>
    <t>1 = um mês do aviso prévio indenizado não trabalhado</t>
  </si>
  <si>
    <t>12 = número de meses do ano</t>
  </si>
  <si>
    <t>(</t>
  </si>
  <si>
    <t>)</t>
  </si>
  <si>
    <t>Incidência do FGTS sobre o Aviso Prévio Indenizado</t>
  </si>
  <si>
    <t>8% = montante a ser recolhido mensalmente a título de FGTS</t>
  </si>
  <si>
    <t>40% = multa relativa ao FGTS para rescisão sem justa causa</t>
  </si>
  <si>
    <t>Incidência dos encargos do Submódulo 2.2 sobre o  Aviso Prévio Trabalhado</t>
  </si>
  <si>
    <t>APT representa o produto da operação entre a incidência do Submódulo 2.2 sobre o APT</t>
  </si>
  <si>
    <t>36,80% = alíquota máxima admitida para o Submódulo 2.2.</t>
  </si>
  <si>
    <t>(0,08 x 0,5 x 100%) = 3,20%</t>
  </si>
  <si>
    <t>Multa do FGTS para Rescisão sem justa Causa</t>
  </si>
  <si>
    <t>Leis n.ºs 8.036/1990 e 9.491/1997, considerando que ao término do contrato 100% dos empregados terão rescisões sem justa causa. Observe-se que o art. 12 da Lei nº 13.932/2019 extinguiu, a partir de 1º de janeiro de 2020, a contribuição social instituída por meio do art. 1º da Lei Complementar nº 110/2001.</t>
  </si>
  <si>
    <t>Reposição relativa a Férias</t>
  </si>
  <si>
    <t>O título férias do Módulo 4 refere-se ao provisonamento de 1/12 avos do salário mensal do posto para reposição da mão-de-obra na ocorrência do evento férias</t>
  </si>
  <si>
    <t>[(1)*100%/12] = 8,33 %</t>
  </si>
  <si>
    <t>1 = ocorrência do evento Férias no ano</t>
  </si>
  <si>
    <t>Reposição referente a Licença Paternidade</t>
  </si>
  <si>
    <t>{[(5 / 30)/ 12] x (5% x 100)} = 0,07%</t>
  </si>
  <si>
    <t>5 = números de dias em que o empregado não trabalha</t>
  </si>
  <si>
    <t>30 = número de dias no mês</t>
  </si>
  <si>
    <t>5% = média de trabalhadores que são pais durante o ano,</t>
  </si>
  <si>
    <t>Reposição em razão de outras ausências legais</t>
  </si>
  <si>
    <t>[(1/30)/12 x 100%] = 0,28%,</t>
  </si>
  <si>
    <t>1= média de falta de cada trabalhador por ano</t>
  </si>
  <si>
    <t>100% =Remuneração</t>
  </si>
  <si>
    <t>Reposição devido a concessão de Aviso Prévio Trabalhado</t>
  </si>
  <si>
    <t xml:space="preserve">7/30 x 100/12= 1,94% </t>
  </si>
  <si>
    <t>7 = número de dias de ausência</t>
  </si>
  <si>
    <t>Reposição relativa à Ausência por doença</t>
  </si>
  <si>
    <t>{[(4,14/30)/12)] x 100%} = 1,15%</t>
  </si>
  <si>
    <t>4,14 = média de faltas anuais</t>
  </si>
  <si>
    <t>Reposição relativa à Ausência por Acidente de Trabalho</t>
  </si>
  <si>
    <t>{[(15/30)/12] x( 0,08 x 100%}</t>
  </si>
  <si>
    <t>15 = número de dias em que o empregado repousa</t>
  </si>
  <si>
    <t>8% = média de trabalhadores que sofrem acidente durante o ano,</t>
  </si>
  <si>
    <t>QUADRO RESUMO  - CONTRIBUIÇÕES SOCIAIS E CUSTOS TRABALHISTAS</t>
  </si>
  <si>
    <t>Submódulo 2.1 - 13° Salário, Férias e Adicional de Férias</t>
  </si>
  <si>
    <t>Submódulo 4.1 - Ausências Legais</t>
  </si>
  <si>
    <t>Total Módulos 1, 2, 3, e 4</t>
  </si>
  <si>
    <t>Módulo 6 - Custos Indiretos, Tributos e Lucro</t>
  </si>
  <si>
    <t>Custos Indiretos, e Lucro:</t>
  </si>
  <si>
    <t>Tributos:</t>
  </si>
  <si>
    <t>Total Módulos 1, 2, 3, 4 e 5</t>
  </si>
  <si>
    <t>Total Módulos  2, 3, 4 e 5</t>
  </si>
  <si>
    <t>13º e Férias sobre aviso prévio indenizado</t>
  </si>
  <si>
    <t>Incid. do submódulo 2.2 sem FGTS sobre o reflexo do aviso prévio indenizado no 13º</t>
  </si>
  <si>
    <t>Incidência do FGTS sobre o aviso prévio indenizado</t>
  </si>
  <si>
    <t>(1/12*3,5/100) = 0,29%</t>
  </si>
  <si>
    <t>3,50% = percentual de empregados demitidos a pedido do Contratante.</t>
  </si>
  <si>
    <t>8,33. 13º Salário.</t>
  </si>
  <si>
    <t>11,11 Férias</t>
  </si>
  <si>
    <t>0,29 = aviso prévio indenizado</t>
  </si>
  <si>
    <t>(C33-C32)*1/12*C55 = 0,007%</t>
  </si>
  <si>
    <t>Auxílio refeição/alimentação (22)</t>
  </si>
  <si>
    <t>Assistência Odontológica</t>
  </si>
  <si>
    <t>Mão de Obra Residente | Custo Total Anual (Fixo)</t>
  </si>
  <si>
    <t>Descrição</t>
  </si>
  <si>
    <t>Unidade de Medida</t>
  </si>
  <si>
    <t>Unidade</t>
  </si>
  <si>
    <t>(36.80-8)*1/12*0,29 = 0,007</t>
  </si>
  <si>
    <t>RECEPCIONISTA POR DIÁRIA – CBO 4221 - 05</t>
  </si>
  <si>
    <t>Valor Recep. 44 horas*</t>
  </si>
  <si>
    <t>Valor Recep. 44 horas / 30 dias</t>
  </si>
  <si>
    <t>Nº diárias</t>
  </si>
  <si>
    <t>Valor Total diárias</t>
  </si>
  <si>
    <t>Recepcionista (diária)</t>
  </si>
  <si>
    <t>Recepcionista</t>
  </si>
  <si>
    <t>Valor Total Estimado</t>
  </si>
  <si>
    <t>Mão de Obra Residente | Sob Demanda</t>
  </si>
  <si>
    <t>Calça social cinza médio</t>
  </si>
  <si>
    <t>Camisa social cinza claro</t>
  </si>
  <si>
    <t>Blazer cinza médio</t>
  </si>
  <si>
    <t>Meia social cano longo</t>
  </si>
  <si>
    <t>Cinto social</t>
  </si>
  <si>
    <t>Gravata</t>
  </si>
  <si>
    <t>Broche de identificação</t>
  </si>
  <si>
    <t>Saia social cinza médio</t>
  </si>
  <si>
    <t>Prendedor de cabelo</t>
  </si>
  <si>
    <t>Meia calça transparente</t>
  </si>
  <si>
    <t>Sapato social feminino preto</t>
  </si>
  <si>
    <t>Sapato social preto</t>
  </si>
  <si>
    <t>Lenço de bolso</t>
  </si>
  <si>
    <t>RECEPCIONISTA</t>
  </si>
  <si>
    <r>
      <t xml:space="preserve">SESI ou </t>
    </r>
    <r>
      <rPr>
        <b/>
        <sz val="11"/>
        <color theme="1"/>
        <rFont val="Calibri"/>
        <family val="2"/>
        <scheme val="minor"/>
      </rPr>
      <t>SESC</t>
    </r>
    <r>
      <rPr>
        <sz val="11"/>
        <color theme="1"/>
        <rFont val="Calibri"/>
        <family val="2"/>
        <scheme val="minor"/>
      </rPr>
      <t xml:space="preserve"> ou SEST </t>
    </r>
  </si>
  <si>
    <r>
      <t xml:space="preserve">SENAI ou </t>
    </r>
    <r>
      <rPr>
        <b/>
        <sz val="11"/>
        <color theme="1"/>
        <rFont val="Calibri"/>
        <family val="2"/>
        <scheme val="minor"/>
      </rPr>
      <t>SENAC</t>
    </r>
    <r>
      <rPr>
        <sz val="11"/>
        <color theme="1"/>
        <rFont val="Calibri"/>
        <family val="2"/>
        <scheme val="minor"/>
      </rPr>
      <t xml:space="preserve"> ou SENAT</t>
    </r>
  </si>
  <si>
    <r>
      <t>Riscos Ambientais do Trabalho - GILRAT  (Lei nº 8.212/91, Lei 10.666/03)- (</t>
    </r>
    <r>
      <rPr>
        <b/>
        <sz val="11"/>
        <color theme="1"/>
        <rFont val="Calibri"/>
        <family val="2"/>
        <scheme val="minor"/>
      </rPr>
      <t>RAT x FAP</t>
    </r>
    <r>
      <rPr>
        <sz val="11"/>
        <color theme="1"/>
        <rFont val="Calibri"/>
        <family val="2"/>
        <scheme val="minor"/>
      </rPr>
      <t>)</t>
    </r>
  </si>
  <si>
    <r>
      <t>GIL</t>
    </r>
    <r>
      <rPr>
        <b/>
        <sz val="11"/>
        <color theme="1"/>
        <rFont val="Calibri"/>
        <family val="2"/>
        <scheme val="minor"/>
      </rPr>
      <t xml:space="preserve">RAT </t>
    </r>
  </si>
  <si>
    <t>4221-05</t>
  </si>
  <si>
    <t>Acordo, Convenção ou Dissídio Coletivo: SEACxSINDISERVIÇOS DF (2026/2026)</t>
  </si>
  <si>
    <t>CONJUNTO DE UNIFORME FEMININO</t>
  </si>
  <si>
    <t>CONJUNTO DE UNIFORME MASCULINO</t>
  </si>
  <si>
    <t>Quantidade Estimada por conjunto</t>
  </si>
  <si>
    <t>Preço Unitário por item do conjunto</t>
  </si>
  <si>
    <t>Valor Considerado por conjunto</t>
  </si>
  <si>
    <t>TOTAL ANUAL</t>
  </si>
  <si>
    <t>TOTAL  MENSAL</t>
  </si>
  <si>
    <t>TOTAL  ANUAL</t>
  </si>
  <si>
    <t>TOTAL MENSAL</t>
  </si>
  <si>
    <t>VALOR MÉDIO DE UNIFORME MENSAL (uniforme masculino e feminino)</t>
  </si>
  <si>
    <t>Valor Considerado para 02 conjuntos anuais</t>
  </si>
  <si>
    <t>Uniformes (valor mensal para 02 conjuntos anuais - 01 a cada 6 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</si>
</sst>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000"/>
    <numFmt numFmtId="166" formatCode="_(&quot;R$ &quot;* #,##0.00_);_(&quot;R$ &quot;* \(#,##0.00\);_(&quot;R$ &quot;* &quot;-&quot;??_);_(@_)"/>
    <numFmt numFmtId="167" formatCode="0.000"/>
    <numFmt numFmtId="168" formatCode="0.000%"/>
    <numFmt numFmtId="169" formatCode="0.0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ahoma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i/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>
      <alignment vertical="center"/>
    </xf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8" fillId="0" borderId="0"/>
    <xf numFmtId="44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375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1" xfId="13" applyFill="1" applyBorder="1" applyAlignment="1">
      <alignment horizontal="center" vertical="center" wrapText="1"/>
    </xf>
    <xf numFmtId="44" fontId="2" fillId="2" borderId="1" xfId="15" applyFont="1" applyFill="1" applyBorder="1" applyAlignment="1">
      <alignment horizontal="center" vertical="center" wrapText="1"/>
    </xf>
    <xf numFmtId="10" fontId="2" fillId="2" borderId="1" xfId="13" applyNumberFormat="1" applyFont="1" applyFill="1" applyBorder="1" applyAlignment="1">
      <alignment horizontal="center" vertical="center" wrapText="1"/>
    </xf>
    <xf numFmtId="10" fontId="1" fillId="3" borderId="1" xfId="13" applyNumberFormat="1" applyFill="1" applyBorder="1" applyAlignment="1">
      <alignment horizontal="center" vertical="center" wrapText="1"/>
    </xf>
    <xf numFmtId="0" fontId="1" fillId="0" borderId="1" xfId="13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168" fontId="0" fillId="0" borderId="0" xfId="2" applyNumberFormat="1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8" fontId="4" fillId="5" borderId="1" xfId="0" applyNumberFormat="1" applyFont="1" applyFill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center" vertical="center" wrapText="1"/>
    </xf>
    <xf numFmtId="10" fontId="1" fillId="0" borderId="0" xfId="6" applyNumberFormat="1" applyFont="1" applyFill="1" applyBorder="1" applyAlignment="1">
      <alignment horizontal="center" vertical="center" shrinkToFit="1"/>
    </xf>
    <xf numFmtId="10" fontId="1" fillId="0" borderId="18" xfId="6" applyNumberFormat="1" applyFont="1" applyFill="1" applyBorder="1" applyAlignment="1">
      <alignment horizontal="center" vertical="center" shrinkToFit="1"/>
    </xf>
    <xf numFmtId="0" fontId="1" fillId="0" borderId="5" xfId="7" applyNumberFormat="1" applyFont="1" applyFill="1" applyBorder="1" applyAlignment="1">
      <alignment horizontal="center" vertical="center"/>
    </xf>
    <xf numFmtId="10" fontId="1" fillId="0" borderId="5" xfId="6" applyNumberFormat="1" applyFont="1" applyFill="1" applyBorder="1" applyAlignment="1">
      <alignment vertical="center"/>
    </xf>
    <xf numFmtId="10" fontId="1" fillId="0" borderId="16" xfId="6" applyNumberFormat="1" applyFont="1" applyFill="1" applyBorder="1" applyAlignment="1">
      <alignment vertical="center"/>
    </xf>
    <xf numFmtId="0" fontId="1" fillId="0" borderId="12" xfId="11" applyNumberFormat="1" applyFont="1" applyFill="1" applyBorder="1" applyAlignment="1">
      <alignment horizontal="center" vertical="center"/>
    </xf>
    <xf numFmtId="0" fontId="1" fillId="0" borderId="0" xfId="11" applyNumberFormat="1" applyFont="1" applyFill="1" applyBorder="1" applyAlignment="1">
      <alignment horizontal="center" vertical="center"/>
    </xf>
    <xf numFmtId="10" fontId="1" fillId="0" borderId="0" xfId="12" applyNumberFormat="1" applyFont="1" applyFill="1" applyBorder="1" applyAlignment="1">
      <alignment horizontal="justify" vertical="center" wrapText="1"/>
    </xf>
    <xf numFmtId="0" fontId="1" fillId="0" borderId="0" xfId="6" applyNumberFormat="1" applyFont="1" applyFill="1" applyBorder="1" applyAlignment="1">
      <alignment vertical="center"/>
    </xf>
    <xf numFmtId="0" fontId="1" fillId="0" borderId="0" xfId="7" applyNumberFormat="1" applyFont="1" applyFill="1" applyBorder="1" applyAlignment="1">
      <alignment vertical="center"/>
    </xf>
    <xf numFmtId="10" fontId="1" fillId="0" borderId="0" xfId="5" applyNumberFormat="1" applyFont="1">
      <alignment vertical="center"/>
    </xf>
    <xf numFmtId="0" fontId="1" fillId="0" borderId="0" xfId="5" applyFont="1">
      <alignment vertical="center"/>
    </xf>
    <xf numFmtId="10" fontId="2" fillId="0" borderId="0" xfId="5" applyNumberFormat="1" applyFont="1" applyAlignment="1">
      <alignment horizontal="center" vertical="center"/>
    </xf>
    <xf numFmtId="10" fontId="2" fillId="0" borderId="0" xfId="5" applyNumberFormat="1" applyFont="1" applyAlignment="1">
      <alignment horizontal="center"/>
    </xf>
    <xf numFmtId="10" fontId="1" fillId="0" borderId="0" xfId="5" applyNumberFormat="1" applyFont="1" applyAlignment="1">
      <alignment horizontal="center"/>
    </xf>
    <xf numFmtId="0" fontId="1" fillId="0" borderId="0" xfId="10" applyAlignment="1">
      <alignment horizontal="center" wrapText="1"/>
    </xf>
    <xf numFmtId="0" fontId="1" fillId="0" borderId="12" xfId="5" applyFont="1" applyBorder="1" applyAlignment="1">
      <alignment vertical="center" shrinkToFit="1"/>
    </xf>
    <xf numFmtId="0" fontId="1" fillId="0" borderId="5" xfId="8" applyFont="1" applyBorder="1">
      <alignment vertical="center"/>
    </xf>
    <xf numFmtId="0" fontId="1" fillId="0" borderId="5" xfId="8" applyFont="1" applyBorder="1" applyAlignment="1">
      <alignment vertical="center" shrinkToFit="1"/>
    </xf>
    <xf numFmtId="0" fontId="1" fillId="0" borderId="16" xfId="8" applyFont="1" applyBorder="1" applyAlignment="1">
      <alignment vertical="center" shrinkToFit="1"/>
    </xf>
    <xf numFmtId="10" fontId="1" fillId="0" borderId="0" xfId="5" applyNumberFormat="1" applyFont="1" applyAlignment="1">
      <alignment horizontal="center" vertical="center"/>
    </xf>
    <xf numFmtId="0" fontId="1" fillId="0" borderId="0" xfId="8" applyFont="1">
      <alignment vertical="center"/>
    </xf>
    <xf numFmtId="10" fontId="2" fillId="0" borderId="1" xfId="5" applyNumberFormat="1" applyFont="1" applyBorder="1" applyAlignment="1">
      <alignment horizontal="center" vertical="center"/>
    </xf>
    <xf numFmtId="10" fontId="1" fillId="0" borderId="11" xfId="5" applyNumberFormat="1" applyFont="1" applyBorder="1">
      <alignment vertical="center"/>
    </xf>
    <xf numFmtId="0" fontId="1" fillId="0" borderId="17" xfId="5" applyFont="1" applyBorder="1" applyAlignment="1">
      <alignment horizontal="justify" vertical="center" wrapText="1"/>
    </xf>
    <xf numFmtId="0" fontId="1" fillId="0" borderId="0" xfId="5" applyFont="1" applyAlignment="1">
      <alignment horizontal="justify" vertical="center" wrapText="1"/>
    </xf>
    <xf numFmtId="0" fontId="1" fillId="0" borderId="18" xfId="5" applyFont="1" applyBorder="1" applyAlignment="1">
      <alignment horizontal="justify" vertical="center" wrapText="1"/>
    </xf>
    <xf numFmtId="0" fontId="1" fillId="0" borderId="5" xfId="11" applyNumberFormat="1" applyFont="1" applyFill="1" applyBorder="1" applyAlignment="1">
      <alignment horizontal="center" vertical="center"/>
    </xf>
    <xf numFmtId="0" fontId="1" fillId="0" borderId="5" xfId="8" applyFont="1" applyBorder="1" applyAlignment="1">
      <alignment horizontal="center" vertical="center"/>
    </xf>
    <xf numFmtId="10" fontId="1" fillId="0" borderId="7" xfId="5" applyNumberFormat="1" applyFont="1" applyBorder="1">
      <alignment vertical="center"/>
    </xf>
    <xf numFmtId="10" fontId="2" fillId="0" borderId="6" xfId="5" applyNumberFormat="1" applyFont="1" applyBorder="1" applyAlignment="1">
      <alignment horizontal="center" vertical="center"/>
    </xf>
    <xf numFmtId="0" fontId="1" fillId="0" borderId="5" xfId="5" applyFont="1" applyBorder="1">
      <alignment vertical="center"/>
    </xf>
    <xf numFmtId="0" fontId="1" fillId="0" borderId="16" xfId="5" applyFont="1" applyBorder="1">
      <alignment vertical="center"/>
    </xf>
    <xf numFmtId="0" fontId="1" fillId="0" borderId="8" xfId="8" applyFont="1" applyBorder="1" applyAlignment="1">
      <alignment horizontal="center" vertical="center"/>
    </xf>
    <xf numFmtId="0" fontId="2" fillId="0" borderId="0" xfId="5" applyFont="1">
      <alignment vertical="center"/>
    </xf>
    <xf numFmtId="0" fontId="2" fillId="0" borderId="0" xfId="8" applyFont="1">
      <alignment vertical="center"/>
    </xf>
    <xf numFmtId="10" fontId="2" fillId="0" borderId="0" xfId="5" applyNumberFormat="1" applyFont="1" applyAlignment="1">
      <alignment horizontal="left" vertical="center" shrinkToFit="1"/>
    </xf>
    <xf numFmtId="0" fontId="2" fillId="0" borderId="0" xfId="8" applyFont="1" applyAlignment="1">
      <alignment horizontal="center" vertical="center" shrinkToFit="1"/>
    </xf>
    <xf numFmtId="0" fontId="2" fillId="0" borderId="18" xfId="8" applyFont="1" applyBorder="1" applyAlignment="1">
      <alignment horizontal="center" vertical="center" shrinkToFit="1"/>
    </xf>
    <xf numFmtId="10" fontId="1" fillId="0" borderId="7" xfId="5" applyNumberFormat="1" applyFont="1" applyBorder="1" applyAlignment="1">
      <alignment horizontal="left" vertical="center"/>
    </xf>
    <xf numFmtId="10" fontId="1" fillId="0" borderId="6" xfId="5" applyNumberFormat="1" applyFont="1" applyBorder="1">
      <alignment vertical="center"/>
    </xf>
    <xf numFmtId="0" fontId="1" fillId="0" borderId="0" xfId="8" applyFont="1" applyAlignment="1">
      <alignment horizontal="justify" vertical="center" wrapText="1"/>
    </xf>
    <xf numFmtId="0" fontId="1" fillId="0" borderId="17" xfId="5" applyFont="1" applyBorder="1" applyAlignment="1">
      <alignment horizontal="justify" vertical="center"/>
    </xf>
    <xf numFmtId="0" fontId="1" fillId="0" borderId="0" xfId="8" applyFont="1" applyAlignment="1">
      <alignment horizontal="justify" vertical="center"/>
    </xf>
    <xf numFmtId="0" fontId="1" fillId="0" borderId="18" xfId="8" applyFont="1" applyBorder="1" applyAlignment="1">
      <alignment horizontal="justify" vertical="center"/>
    </xf>
    <xf numFmtId="0" fontId="1" fillId="0" borderId="5" xfId="8" applyFont="1" applyBorder="1" applyAlignment="1">
      <alignment horizontal="justify" vertical="center" wrapText="1"/>
    </xf>
    <xf numFmtId="2" fontId="1" fillId="0" borderId="5" xfId="6" applyNumberFormat="1" applyFont="1" applyFill="1" applyBorder="1" applyAlignment="1">
      <alignment vertical="center"/>
    </xf>
    <xf numFmtId="10" fontId="1" fillId="0" borderId="7" xfId="5" applyNumberFormat="1" applyFont="1" applyBorder="1" applyAlignment="1">
      <alignment vertical="center" wrapText="1"/>
    </xf>
    <xf numFmtId="2" fontId="2" fillId="0" borderId="1" xfId="5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 wrapText="1"/>
    </xf>
    <xf numFmtId="0" fontId="1" fillId="0" borderId="0" xfId="8" applyFont="1" applyAlignment="1">
      <alignment horizontal="center" vertical="center"/>
    </xf>
    <xf numFmtId="10" fontId="1" fillId="0" borderId="0" xfId="8" applyNumberFormat="1" applyFont="1" applyAlignment="1">
      <alignment horizontal="center" vertical="center"/>
    </xf>
    <xf numFmtId="10" fontId="1" fillId="0" borderId="0" xfId="8" applyNumberFormat="1" applyFont="1">
      <alignment vertical="center"/>
    </xf>
    <xf numFmtId="0" fontId="1" fillId="0" borderId="0" xfId="8" applyFont="1" applyAlignment="1">
      <alignment vertical="center" shrinkToFit="1"/>
    </xf>
    <xf numFmtId="0" fontId="11" fillId="0" borderId="19" xfId="0" applyFont="1" applyBorder="1" applyAlignment="1">
      <alignment horizontal="center" vertical="center" wrapText="1"/>
    </xf>
    <xf numFmtId="10" fontId="1" fillId="0" borderId="18" xfId="5" applyNumberFormat="1" applyFont="1" applyBorder="1">
      <alignment vertical="center"/>
    </xf>
    <xf numFmtId="0" fontId="1" fillId="0" borderId="5" xfId="8" applyFont="1" applyBorder="1" applyAlignment="1">
      <alignment horizontal="center" vertical="center" wrapText="1"/>
    </xf>
    <xf numFmtId="168" fontId="2" fillId="0" borderId="1" xfId="2" applyNumberFormat="1" applyFont="1" applyFill="1" applyBorder="1" applyAlignment="1">
      <alignment horizontal="center" vertical="center"/>
    </xf>
    <xf numFmtId="10" fontId="1" fillId="0" borderId="0" xfId="8" applyNumberFormat="1" applyFont="1" applyAlignment="1">
      <alignment horizontal="center" vertical="center" wrapText="1"/>
    </xf>
    <xf numFmtId="167" fontId="2" fillId="0" borderId="1" xfId="5" applyNumberFormat="1" applyFont="1" applyBorder="1" applyAlignment="1">
      <alignment horizontal="center" vertical="center"/>
    </xf>
    <xf numFmtId="0" fontId="1" fillId="0" borderId="18" xfId="5" applyFont="1" applyBorder="1">
      <alignment vertical="center"/>
    </xf>
    <xf numFmtId="0" fontId="1" fillId="0" borderId="18" xfId="8" applyFont="1" applyBorder="1" applyAlignment="1">
      <alignment vertical="center" shrinkToFit="1"/>
    </xf>
    <xf numFmtId="2" fontId="1" fillId="0" borderId="5" xfId="11" applyNumberFormat="1" applyFont="1" applyFill="1" applyBorder="1" applyAlignment="1">
      <alignment horizontal="center" vertical="center"/>
    </xf>
    <xf numFmtId="10" fontId="1" fillId="0" borderId="16" xfId="5" applyNumberFormat="1" applyFont="1" applyBorder="1">
      <alignment vertical="center"/>
    </xf>
    <xf numFmtId="0" fontId="1" fillId="0" borderId="0" xfId="5" applyFont="1" applyAlignment="1">
      <alignment vertical="center" shrinkToFit="1"/>
    </xf>
    <xf numFmtId="0" fontId="1" fillId="0" borderId="0" xfId="5" applyFont="1" applyAlignment="1">
      <alignment horizontal="left" vertical="center" shrinkToFit="1"/>
    </xf>
    <xf numFmtId="0" fontId="1" fillId="0" borderId="0" xfId="5" applyFont="1" applyAlignment="1">
      <alignment horizontal="center" vertical="center" shrinkToFit="1"/>
    </xf>
    <xf numFmtId="0" fontId="4" fillId="0" borderId="1" xfId="0" applyFont="1" applyBorder="1" applyAlignment="1">
      <alignment vertical="center" wrapText="1"/>
    </xf>
    <xf numFmtId="0" fontId="9" fillId="0" borderId="23" xfId="0" applyFont="1" applyBorder="1" applyAlignment="1">
      <alignment horizontal="justify" vertical="center" wrapText="1"/>
    </xf>
    <xf numFmtId="0" fontId="4" fillId="0" borderId="23" xfId="0" applyFont="1" applyBorder="1" applyAlignment="1">
      <alignment horizontal="center" vertical="center" wrapText="1"/>
    </xf>
    <xf numFmtId="44" fontId="2" fillId="0" borderId="7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44" fontId="2" fillId="6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8" fontId="2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13" fillId="0" borderId="0" xfId="0" applyFont="1" applyAlignment="1">
      <alignment horizontal="justify" vertical="center" wrapText="1"/>
    </xf>
    <xf numFmtId="10" fontId="13" fillId="0" borderId="0" xfId="0" applyNumberFormat="1" applyFont="1" applyAlignment="1">
      <alignment horizontal="justify" vertical="center" wrapText="1"/>
    </xf>
    <xf numFmtId="9" fontId="13" fillId="0" borderId="0" xfId="2" applyFont="1" applyFill="1" applyAlignment="1">
      <alignment horizontal="justify" vertical="center" wrapText="1"/>
    </xf>
    <xf numFmtId="44" fontId="0" fillId="0" borderId="0" xfId="0" applyNumberFormat="1" applyAlignment="1">
      <alignment vertical="center" wrapText="1"/>
    </xf>
    <xf numFmtId="10" fontId="0" fillId="0" borderId="0" xfId="0" applyNumberFormat="1" applyAlignment="1">
      <alignment vertical="center" wrapText="1"/>
    </xf>
    <xf numFmtId="2" fontId="13" fillId="0" borderId="0" xfId="0" applyNumberFormat="1" applyFont="1" applyAlignment="1">
      <alignment horizontal="justify" vertical="center" wrapText="1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44" fontId="5" fillId="13" borderId="1" xfId="1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8" fontId="0" fillId="19" borderId="1" xfId="0" applyNumberFormat="1" applyFill="1" applyBorder="1" applyAlignment="1">
      <alignment horizontal="center" vertical="center"/>
    </xf>
    <xf numFmtId="8" fontId="2" fillId="19" borderId="1" xfId="0" applyNumberFormat="1" applyFont="1" applyFill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5" fillId="9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44" fontId="0" fillId="9" borderId="1" xfId="1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44" fontId="0" fillId="12" borderId="1" xfId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10" fontId="0" fillId="0" borderId="1" xfId="0" applyNumberFormat="1" applyBorder="1" applyAlignment="1" applyProtection="1">
      <alignment horizontal="center" vertical="center" wrapText="1"/>
      <protection locked="0"/>
    </xf>
    <xf numFmtId="10" fontId="5" fillId="13" borderId="1" xfId="0" applyNumberFormat="1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vertical="center" wrapText="1"/>
    </xf>
    <xf numFmtId="44" fontId="0" fillId="12" borderId="1" xfId="1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9" fontId="0" fillId="0" borderId="1" xfId="2" applyFont="1" applyFill="1" applyBorder="1" applyAlignment="1" applyProtection="1">
      <alignment horizontal="center" vertical="center" wrapText="1"/>
      <protection locked="0"/>
    </xf>
    <xf numFmtId="2" fontId="0" fillId="12" borderId="1" xfId="1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44" fontId="0" fillId="0" borderId="1" xfId="1" applyFont="1" applyFill="1" applyBorder="1" applyAlignment="1">
      <alignment horizontal="justify" vertical="center" wrapText="1"/>
    </xf>
    <xf numFmtId="44" fontId="5" fillId="13" borderId="1" xfId="1" applyFont="1" applyFill="1" applyBorder="1" applyAlignment="1">
      <alignment horizontal="justify" vertical="center" wrapText="1"/>
    </xf>
    <xf numFmtId="10" fontId="0" fillId="16" borderId="1" xfId="2" applyNumberFormat="1" applyFont="1" applyFill="1" applyBorder="1" applyAlignment="1" applyProtection="1">
      <alignment horizontal="center" vertical="center" wrapText="1"/>
      <protection locked="0"/>
    </xf>
    <xf numFmtId="169" fontId="0" fillId="16" borderId="1" xfId="2" applyNumberFormat="1" applyFont="1" applyFill="1" applyBorder="1" applyAlignment="1">
      <alignment horizontal="center" vertical="center" wrapText="1"/>
    </xf>
    <xf numFmtId="168" fontId="0" fillId="16" borderId="1" xfId="2" applyNumberFormat="1" applyFont="1" applyFill="1" applyBorder="1" applyAlignment="1">
      <alignment horizontal="center" vertical="center" wrapText="1"/>
    </xf>
    <xf numFmtId="10" fontId="0" fillId="0" borderId="1" xfId="2" applyNumberFormat="1" applyFont="1" applyBorder="1" applyAlignment="1" applyProtection="1">
      <alignment horizontal="center" vertical="center" wrapText="1"/>
      <protection locked="0"/>
    </xf>
    <xf numFmtId="168" fontId="0" fillId="16" borderId="1" xfId="0" applyNumberFormat="1" applyFill="1" applyBorder="1" applyAlignment="1">
      <alignment horizontal="center" vertical="center" wrapText="1"/>
    </xf>
    <xf numFmtId="10" fontId="0" fillId="0" borderId="1" xfId="2" applyNumberFormat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vertical="center" wrapText="1"/>
    </xf>
    <xf numFmtId="0" fontId="2" fillId="11" borderId="6" xfId="0" applyFont="1" applyFill="1" applyBorder="1" applyAlignment="1">
      <alignment horizontal="center" vertical="center" wrapText="1"/>
    </xf>
    <xf numFmtId="8" fontId="0" fillId="12" borderId="1" xfId="1" applyNumberFormat="1" applyFont="1" applyFill="1" applyBorder="1" applyAlignment="1">
      <alignment horizontal="center" vertical="center" wrapText="1"/>
    </xf>
    <xf numFmtId="10" fontId="5" fillId="17" borderId="1" xfId="0" applyNumberFormat="1" applyFont="1" applyFill="1" applyBorder="1" applyAlignment="1">
      <alignment horizontal="center" vertical="center" wrapText="1"/>
    </xf>
    <xf numFmtId="10" fontId="0" fillId="18" borderId="1" xfId="0" applyNumberFormat="1" applyFill="1" applyBorder="1" applyAlignment="1" applyProtection="1">
      <alignment horizontal="center" vertical="center" wrapText="1"/>
      <protection locked="0"/>
    </xf>
    <xf numFmtId="44" fontId="0" fillId="18" borderId="1" xfId="1" applyFont="1" applyFill="1" applyBorder="1" applyAlignment="1">
      <alignment horizontal="justify" vertical="center" wrapText="1"/>
    </xf>
    <xf numFmtId="44" fontId="2" fillId="0" borderId="1" xfId="1" applyFont="1" applyFill="1" applyBorder="1" applyAlignment="1">
      <alignment horizontal="justify" vertical="center" wrapText="1"/>
    </xf>
    <xf numFmtId="0" fontId="0" fillId="0" borderId="1" xfId="0" applyBorder="1" applyAlignment="1">
      <alignment horizontal="left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18" borderId="1" xfId="0" applyFill="1" applyBorder="1" applyAlignment="1">
      <alignment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1" fontId="0" fillId="9" borderId="1" xfId="0" applyNumberForma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4" fontId="0" fillId="0" borderId="6" xfId="1" applyFont="1" applyFill="1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44" fontId="1" fillId="0" borderId="2" xfId="1" applyFont="1" applyFill="1" applyBorder="1" applyAlignment="1">
      <alignment horizontal="center" vertical="center" wrapText="1"/>
    </xf>
    <xf numFmtId="44" fontId="1" fillId="0" borderId="4" xfId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 wrapText="1"/>
    </xf>
    <xf numFmtId="0" fontId="1" fillId="3" borderId="1" xfId="13" applyFill="1" applyBorder="1" applyAlignment="1">
      <alignment horizontal="center" vertical="center" wrapText="1"/>
    </xf>
    <xf numFmtId="0" fontId="2" fillId="0" borderId="2" xfId="13" applyFont="1" applyBorder="1" applyAlignment="1">
      <alignment horizontal="center" vertical="center" wrapText="1"/>
    </xf>
    <xf numFmtId="0" fontId="2" fillId="0" borderId="4" xfId="13" applyFont="1" applyBorder="1" applyAlignment="1">
      <alignment horizontal="center" vertical="center" wrapText="1"/>
    </xf>
    <xf numFmtId="0" fontId="2" fillId="0" borderId="3" xfId="13" applyFont="1" applyBorder="1" applyAlignment="1">
      <alignment horizontal="center" vertical="center" wrapText="1"/>
    </xf>
    <xf numFmtId="0" fontId="1" fillId="0" borderId="1" xfId="5" applyFont="1" applyBorder="1" applyAlignment="1">
      <alignment vertical="center" shrinkToFit="1"/>
    </xf>
    <xf numFmtId="0" fontId="1" fillId="0" borderId="1" xfId="8" applyFont="1" applyBorder="1">
      <alignment vertical="center"/>
    </xf>
    <xf numFmtId="10" fontId="1" fillId="0" borderId="1" xfId="6" applyNumberFormat="1" applyFont="1" applyFill="1" applyBorder="1" applyAlignment="1">
      <alignment horizontal="center" vertical="center" shrinkToFit="1"/>
    </xf>
    <xf numFmtId="0" fontId="1" fillId="0" borderId="1" xfId="8" applyFont="1" applyBorder="1" applyAlignment="1">
      <alignment horizontal="center" vertical="center" shrinkToFit="1"/>
    </xf>
    <xf numFmtId="0" fontId="2" fillId="0" borderId="2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1" fillId="0" borderId="4" xfId="8" applyFont="1" applyBorder="1" applyAlignment="1">
      <alignment horizontal="center" vertical="center"/>
    </xf>
    <xf numFmtId="0" fontId="1" fillId="0" borderId="3" xfId="8" applyFont="1" applyBorder="1" applyAlignment="1">
      <alignment horizontal="center" vertical="center"/>
    </xf>
    <xf numFmtId="0" fontId="2" fillId="0" borderId="1" xfId="5" applyFont="1" applyBorder="1" applyAlignment="1">
      <alignment horizontal="left" vertical="center" wrapText="1"/>
    </xf>
    <xf numFmtId="0" fontId="1" fillId="0" borderId="1" xfId="8" applyFont="1" applyBorder="1" applyAlignment="1">
      <alignment horizontal="left" vertical="center"/>
    </xf>
    <xf numFmtId="10" fontId="2" fillId="0" borderId="1" xfId="6" applyNumberFormat="1" applyFont="1" applyFill="1" applyBorder="1" applyAlignment="1">
      <alignment horizontal="center" vertical="center" shrinkToFit="1"/>
    </xf>
    <xf numFmtId="0" fontId="1" fillId="0" borderId="1" xfId="8" applyFont="1" applyBorder="1" applyAlignment="1">
      <alignment vertical="center" shrinkToFit="1"/>
    </xf>
    <xf numFmtId="0" fontId="1" fillId="0" borderId="6" xfId="5" applyFont="1" applyBorder="1" applyAlignment="1">
      <alignment vertical="center" shrinkToFit="1"/>
    </xf>
    <xf numFmtId="0" fontId="1" fillId="0" borderId="6" xfId="8" applyFont="1" applyBorder="1">
      <alignment vertical="center"/>
    </xf>
    <xf numFmtId="0" fontId="1" fillId="0" borderId="9" xfId="5" applyFont="1" applyBorder="1" applyAlignment="1">
      <alignment vertical="center" shrinkToFit="1"/>
    </xf>
    <xf numFmtId="0" fontId="1" fillId="0" borderId="8" xfId="5" applyFont="1" applyBorder="1" applyAlignment="1">
      <alignment vertical="center" shrinkToFit="1"/>
    </xf>
    <xf numFmtId="0" fontId="1" fillId="0" borderId="8" xfId="8" applyFont="1" applyBorder="1">
      <alignment vertical="center"/>
    </xf>
    <xf numFmtId="0" fontId="1" fillId="0" borderId="10" xfId="8" applyFont="1" applyBorder="1">
      <alignment vertical="center"/>
    </xf>
    <xf numFmtId="10" fontId="2" fillId="0" borderId="2" xfId="6" applyNumberFormat="1" applyFont="1" applyFill="1" applyBorder="1" applyAlignment="1">
      <alignment horizontal="center" vertical="center" shrinkToFit="1"/>
    </xf>
    <xf numFmtId="0" fontId="2" fillId="0" borderId="4" xfId="8" applyFont="1" applyBorder="1" applyAlignment="1">
      <alignment horizontal="center" vertical="center" shrinkToFit="1"/>
    </xf>
    <xf numFmtId="0" fontId="2" fillId="0" borderId="3" xfId="8" applyFont="1" applyBorder="1" applyAlignment="1">
      <alignment horizontal="center" vertical="center" shrinkToFit="1"/>
    </xf>
    <xf numFmtId="0" fontId="2" fillId="0" borderId="2" xfId="8" applyFont="1" applyBorder="1" applyAlignment="1">
      <alignment horizontal="center" vertical="center" shrinkToFit="1"/>
    </xf>
    <xf numFmtId="0" fontId="1" fillId="0" borderId="5" xfId="5" applyFont="1" applyBorder="1" applyAlignment="1">
      <alignment vertical="center" shrinkToFit="1"/>
    </xf>
    <xf numFmtId="10" fontId="2" fillId="0" borderId="13" xfId="6" applyNumberFormat="1" applyFont="1" applyFill="1" applyBorder="1" applyAlignment="1">
      <alignment vertical="center"/>
    </xf>
    <xf numFmtId="10" fontId="2" fillId="0" borderId="14" xfId="6" applyNumberFormat="1" applyFont="1" applyFill="1" applyBorder="1" applyAlignment="1">
      <alignment vertical="center"/>
    </xf>
    <xf numFmtId="10" fontId="2" fillId="0" borderId="15" xfId="6" applyNumberFormat="1" applyFont="1" applyFill="1" applyBorder="1" applyAlignment="1">
      <alignment vertical="center"/>
    </xf>
    <xf numFmtId="0" fontId="1" fillId="0" borderId="9" xfId="5" applyFont="1" applyBorder="1">
      <alignment vertical="center"/>
    </xf>
    <xf numFmtId="0" fontId="1" fillId="0" borderId="17" xfId="5" applyFont="1" applyBorder="1">
      <alignment vertical="center"/>
    </xf>
    <xf numFmtId="0" fontId="1" fillId="0" borderId="0" xfId="8" applyFont="1">
      <alignment vertical="center"/>
    </xf>
    <xf numFmtId="0" fontId="1" fillId="0" borderId="12" xfId="8" applyFont="1" applyBorder="1">
      <alignment vertical="center"/>
    </xf>
    <xf numFmtId="0" fontId="1" fillId="0" borderId="5" xfId="8" applyFont="1" applyBorder="1">
      <alignment vertical="center"/>
    </xf>
    <xf numFmtId="0" fontId="1" fillId="0" borderId="9" xfId="5" applyFont="1" applyBorder="1" applyAlignment="1">
      <alignment horizontal="justify" vertical="center" wrapText="1"/>
    </xf>
    <xf numFmtId="0" fontId="1" fillId="0" borderId="8" xfId="5" applyFont="1" applyBorder="1" applyAlignment="1">
      <alignment horizontal="justify" vertical="center" wrapText="1"/>
    </xf>
    <xf numFmtId="0" fontId="1" fillId="0" borderId="10" xfId="5" applyFont="1" applyBorder="1" applyAlignment="1">
      <alignment horizontal="justify" vertical="center" wrapText="1"/>
    </xf>
    <xf numFmtId="10" fontId="1" fillId="0" borderId="8" xfId="6" applyNumberFormat="1" applyFont="1" applyFill="1" applyBorder="1" applyAlignment="1">
      <alignment horizontal="center" vertical="center" shrinkToFit="1"/>
    </xf>
    <xf numFmtId="10" fontId="1" fillId="0" borderId="10" xfId="6" applyNumberFormat="1" applyFont="1" applyFill="1" applyBorder="1" applyAlignment="1">
      <alignment horizontal="center" vertical="center" shrinkToFit="1"/>
    </xf>
    <xf numFmtId="10" fontId="1" fillId="0" borderId="0" xfId="6" applyNumberFormat="1" applyFont="1" applyFill="1" applyBorder="1" applyAlignment="1">
      <alignment horizontal="center" vertical="center" shrinkToFit="1"/>
    </xf>
    <xf numFmtId="10" fontId="1" fillId="0" borderId="18" xfId="6" applyNumberFormat="1" applyFont="1" applyFill="1" applyBorder="1" applyAlignment="1">
      <alignment horizontal="center" vertical="center" shrinkToFit="1"/>
    </xf>
    <xf numFmtId="10" fontId="1" fillId="0" borderId="5" xfId="6" applyNumberFormat="1" applyFont="1" applyFill="1" applyBorder="1" applyAlignment="1">
      <alignment horizontal="center" vertical="center" shrinkToFit="1"/>
    </xf>
    <xf numFmtId="10" fontId="1" fillId="0" borderId="16" xfId="6" applyNumberFormat="1" applyFont="1" applyFill="1" applyBorder="1" applyAlignment="1">
      <alignment horizontal="center" vertical="center" shrinkToFit="1"/>
    </xf>
    <xf numFmtId="0" fontId="1" fillId="0" borderId="12" xfId="11" applyNumberFormat="1" applyFont="1" applyFill="1" applyBorder="1" applyAlignment="1">
      <alignment horizontal="center" vertical="center"/>
    </xf>
    <xf numFmtId="0" fontId="1" fillId="0" borderId="5" xfId="11" applyNumberFormat="1" applyFont="1" applyFill="1" applyBorder="1" applyAlignment="1">
      <alignment horizontal="center" vertical="center"/>
    </xf>
    <xf numFmtId="0" fontId="1" fillId="0" borderId="5" xfId="8" applyFont="1" applyBorder="1" applyAlignment="1">
      <alignment horizontal="center" vertical="center"/>
    </xf>
    <xf numFmtId="0" fontId="1" fillId="0" borderId="5" xfId="5" applyFont="1" applyBorder="1" applyAlignment="1">
      <alignment horizontal="center" vertical="center"/>
    </xf>
    <xf numFmtId="165" fontId="2" fillId="0" borderId="13" xfId="8" applyNumberFormat="1" applyFont="1" applyBorder="1">
      <alignment vertical="center"/>
    </xf>
    <xf numFmtId="165" fontId="2" fillId="0" borderId="14" xfId="8" applyNumberFormat="1" applyFont="1" applyBorder="1">
      <alignment vertical="center"/>
    </xf>
    <xf numFmtId="165" fontId="2" fillId="0" borderId="15" xfId="8" applyNumberFormat="1" applyFont="1" applyBorder="1">
      <alignment vertical="center"/>
    </xf>
    <xf numFmtId="0" fontId="1" fillId="0" borderId="7" xfId="5" applyFont="1" applyBorder="1" applyAlignment="1">
      <alignment vertical="center" shrinkToFit="1"/>
    </xf>
    <xf numFmtId="0" fontId="1" fillId="0" borderId="7" xfId="8" applyFont="1" applyBorder="1">
      <alignment vertical="center"/>
    </xf>
    <xf numFmtId="0" fontId="10" fillId="0" borderId="2" xfId="5" applyFont="1" applyBorder="1" applyAlignment="1">
      <alignment horizontal="right" vertical="center" wrapText="1"/>
    </xf>
    <xf numFmtId="0" fontId="10" fillId="0" borderId="4" xfId="5" applyFont="1" applyBorder="1" applyAlignment="1">
      <alignment horizontal="right" vertical="center" wrapText="1"/>
    </xf>
    <xf numFmtId="0" fontId="10" fillId="0" borderId="4" xfId="8" applyFont="1" applyBorder="1" applyAlignment="1">
      <alignment horizontal="right" vertical="center"/>
    </xf>
    <xf numFmtId="0" fontId="10" fillId="0" borderId="3" xfId="8" applyFont="1" applyBorder="1" applyAlignment="1">
      <alignment horizontal="right" vertical="center"/>
    </xf>
    <xf numFmtId="10" fontId="10" fillId="0" borderId="1" xfId="6" applyNumberFormat="1" applyFont="1" applyFill="1" applyBorder="1" applyAlignment="1">
      <alignment horizontal="center" vertical="center" shrinkToFit="1"/>
    </xf>
    <xf numFmtId="0" fontId="10" fillId="0" borderId="1" xfId="8" applyFont="1" applyBorder="1" applyAlignment="1">
      <alignment horizontal="center" vertical="center" shrinkToFit="1"/>
    </xf>
    <xf numFmtId="0" fontId="2" fillId="0" borderId="2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165" fontId="1" fillId="0" borderId="5" xfId="12" applyNumberFormat="1" applyFont="1" applyFill="1" applyBorder="1" applyAlignment="1">
      <alignment vertical="center"/>
    </xf>
    <xf numFmtId="0" fontId="10" fillId="0" borderId="1" xfId="5" applyFont="1" applyBorder="1" applyAlignment="1">
      <alignment horizontal="right" vertical="center"/>
    </xf>
    <xf numFmtId="0" fontId="10" fillId="0" borderId="1" xfId="8" applyFont="1" applyBorder="1" applyAlignment="1">
      <alignment horizontal="right" vertical="center"/>
    </xf>
    <xf numFmtId="2" fontId="10" fillId="0" borderId="1" xfId="5" applyNumberFormat="1" applyFont="1" applyBorder="1" applyAlignment="1">
      <alignment horizontal="center" vertical="center" shrinkToFit="1"/>
    </xf>
    <xf numFmtId="2" fontId="10" fillId="0" borderId="1" xfId="8" applyNumberFormat="1" applyFont="1" applyBorder="1" applyAlignment="1">
      <alignment horizontal="center" vertical="center" shrinkToFit="1"/>
    </xf>
    <xf numFmtId="0" fontId="2" fillId="0" borderId="8" xfId="5" applyFont="1" applyBorder="1" applyAlignment="1">
      <alignment horizontal="center" vertical="center"/>
    </xf>
    <xf numFmtId="0" fontId="1" fillId="0" borderId="17" xfId="5" applyFont="1" applyBorder="1" applyAlignment="1">
      <alignment horizontal="justify" vertical="center" wrapText="1"/>
    </xf>
    <xf numFmtId="0" fontId="1" fillId="0" borderId="0" xfId="5" applyFont="1" applyAlignment="1">
      <alignment horizontal="justify" vertical="center" wrapText="1"/>
    </xf>
    <xf numFmtId="0" fontId="1" fillId="0" borderId="18" xfId="5" applyFont="1" applyBorder="1" applyAlignment="1">
      <alignment horizontal="justify" vertical="center" wrapText="1"/>
    </xf>
    <xf numFmtId="10" fontId="1" fillId="0" borderId="5" xfId="8" applyNumberFormat="1" applyFont="1" applyBorder="1" applyAlignment="1">
      <alignment horizontal="center" vertical="center"/>
    </xf>
    <xf numFmtId="10" fontId="1" fillId="0" borderId="5" xfId="8" applyNumberFormat="1" applyFont="1" applyBorder="1">
      <alignment vertical="center"/>
    </xf>
    <xf numFmtId="0" fontId="1" fillId="0" borderId="8" xfId="8" applyFont="1" applyBorder="1" applyAlignment="1">
      <alignment horizontal="justify" vertical="center" wrapText="1"/>
    </xf>
    <xf numFmtId="0" fontId="1" fillId="0" borderId="10" xfId="8" applyFont="1" applyBorder="1" applyAlignment="1">
      <alignment horizontal="justify" vertical="center" wrapText="1"/>
    </xf>
    <xf numFmtId="0" fontId="1" fillId="0" borderId="0" xfId="8" applyFont="1" applyAlignment="1">
      <alignment horizontal="justify" vertical="center" wrapText="1"/>
    </xf>
    <xf numFmtId="0" fontId="1" fillId="0" borderId="18" xfId="8" applyFont="1" applyBorder="1" applyAlignment="1">
      <alignment horizontal="justify" vertical="center" wrapText="1"/>
    </xf>
    <xf numFmtId="0" fontId="1" fillId="0" borderId="12" xfId="8" applyFont="1" applyBorder="1" applyAlignment="1">
      <alignment horizontal="justify" vertical="center" wrapText="1"/>
    </xf>
    <xf numFmtId="0" fontId="1" fillId="0" borderId="5" xfId="8" applyFont="1" applyBorder="1" applyAlignment="1">
      <alignment horizontal="justify" vertical="center" wrapText="1"/>
    </xf>
    <xf numFmtId="0" fontId="1" fillId="0" borderId="16" xfId="8" applyFont="1" applyBorder="1" applyAlignment="1">
      <alignment horizontal="justify" vertical="center" wrapText="1"/>
    </xf>
    <xf numFmtId="0" fontId="1" fillId="0" borderId="9" xfId="5" applyFont="1" applyBorder="1" applyAlignment="1">
      <alignment horizontal="justify" vertical="center"/>
    </xf>
    <xf numFmtId="0" fontId="1" fillId="0" borderId="8" xfId="8" applyFont="1" applyBorder="1" applyAlignment="1">
      <alignment horizontal="justify" vertical="center"/>
    </xf>
    <xf numFmtId="0" fontId="1" fillId="0" borderId="10" xfId="8" applyFont="1" applyBorder="1" applyAlignment="1">
      <alignment horizontal="justify" vertical="center"/>
    </xf>
    <xf numFmtId="10" fontId="1" fillId="0" borderId="8" xfId="2" applyNumberFormat="1" applyFont="1" applyFill="1" applyBorder="1" applyAlignment="1">
      <alignment horizontal="center" vertical="center" shrinkToFit="1"/>
    </xf>
    <xf numFmtId="10" fontId="1" fillId="0" borderId="10" xfId="2" applyNumberFormat="1" applyFont="1" applyFill="1" applyBorder="1" applyAlignment="1">
      <alignment horizontal="center" vertical="center" shrinkToFit="1"/>
    </xf>
    <xf numFmtId="10" fontId="1" fillId="0" borderId="0" xfId="2" applyNumberFormat="1" applyFont="1" applyFill="1" applyBorder="1" applyAlignment="1">
      <alignment horizontal="center" vertical="center" shrinkToFit="1"/>
    </xf>
    <xf numFmtId="10" fontId="1" fillId="0" borderId="18" xfId="2" applyNumberFormat="1" applyFont="1" applyFill="1" applyBorder="1" applyAlignment="1">
      <alignment horizontal="center" vertical="center" shrinkToFit="1"/>
    </xf>
    <xf numFmtId="10" fontId="1" fillId="0" borderId="5" xfId="2" applyNumberFormat="1" applyFont="1" applyFill="1" applyBorder="1" applyAlignment="1">
      <alignment horizontal="center" vertical="center" shrinkToFit="1"/>
    </xf>
    <xf numFmtId="10" fontId="1" fillId="0" borderId="16" xfId="2" applyNumberFormat="1" applyFont="1" applyFill="1" applyBorder="1" applyAlignment="1">
      <alignment horizontal="center" vertical="center" shrinkToFit="1"/>
    </xf>
    <xf numFmtId="2" fontId="1" fillId="0" borderId="12" xfId="11" applyNumberFormat="1" applyFont="1" applyFill="1" applyBorder="1" applyAlignment="1">
      <alignment vertical="center"/>
    </xf>
    <xf numFmtId="2" fontId="1" fillId="0" borderId="5" xfId="11" applyNumberFormat="1" applyFont="1" applyFill="1" applyBorder="1" applyAlignment="1">
      <alignment vertical="center"/>
    </xf>
    <xf numFmtId="2" fontId="1" fillId="0" borderId="5" xfId="6" applyNumberFormat="1" applyFont="1" applyFill="1" applyBorder="1" applyAlignment="1">
      <alignment horizontal="center" vertical="center"/>
    </xf>
    <xf numFmtId="10" fontId="1" fillId="0" borderId="5" xfId="6" applyNumberFormat="1" applyFont="1" applyFill="1" applyBorder="1" applyAlignment="1">
      <alignment horizontal="center" vertical="center"/>
    </xf>
    <xf numFmtId="0" fontId="1" fillId="0" borderId="17" xfId="8" applyFont="1" applyBorder="1" applyAlignment="1">
      <alignment horizontal="justify" vertical="center" wrapText="1"/>
    </xf>
    <xf numFmtId="10" fontId="1" fillId="0" borderId="9" xfId="6" applyNumberFormat="1" applyFont="1" applyFill="1" applyBorder="1" applyAlignment="1">
      <alignment horizontal="center" vertical="center" shrinkToFit="1"/>
    </xf>
    <xf numFmtId="10" fontId="1" fillId="0" borderId="17" xfId="6" applyNumberFormat="1" applyFont="1" applyFill="1" applyBorder="1" applyAlignment="1">
      <alignment horizontal="center" vertical="center" shrinkToFit="1"/>
    </xf>
    <xf numFmtId="10" fontId="1" fillId="0" borderId="12" xfId="6" applyNumberFormat="1" applyFont="1" applyFill="1" applyBorder="1" applyAlignment="1">
      <alignment horizontal="center" vertical="center" shrinkToFit="1"/>
    </xf>
    <xf numFmtId="10" fontId="1" fillId="0" borderId="5" xfId="8" applyNumberFormat="1" applyFont="1" applyBorder="1" applyAlignment="1">
      <alignment horizontal="center" vertical="center" wrapText="1"/>
    </xf>
    <xf numFmtId="10" fontId="1" fillId="0" borderId="5" xfId="12" applyNumberFormat="1" applyFont="1" applyFill="1" applyBorder="1" applyAlignment="1">
      <alignment horizontal="justify" vertical="center" wrapText="1"/>
    </xf>
    <xf numFmtId="0" fontId="1" fillId="0" borderId="12" xfId="8" applyFont="1" applyBorder="1" applyAlignment="1">
      <alignment horizontal="center" vertical="center" wrapText="1"/>
    </xf>
    <xf numFmtId="0" fontId="1" fillId="0" borderId="5" xfId="8" applyFont="1" applyBorder="1" applyAlignment="1">
      <alignment horizontal="center" vertical="center" wrapText="1"/>
    </xf>
    <xf numFmtId="0" fontId="12" fillId="0" borderId="1" xfId="5" applyFont="1" applyBorder="1" applyAlignment="1">
      <alignment horizontal="justify" vertical="center" wrapText="1"/>
    </xf>
    <xf numFmtId="0" fontId="12" fillId="0" borderId="1" xfId="8" applyFont="1" applyBorder="1" applyAlignment="1">
      <alignment horizontal="justify" vertical="center"/>
    </xf>
    <xf numFmtId="10" fontId="12" fillId="0" borderId="1" xfId="6" applyNumberFormat="1" applyFont="1" applyFill="1" applyBorder="1" applyAlignment="1">
      <alignment horizontal="center" vertical="center" shrinkToFit="1"/>
    </xf>
    <xf numFmtId="0" fontId="12" fillId="0" borderId="1" xfId="8" applyFont="1" applyBorder="1" applyAlignment="1">
      <alignment horizontal="center" vertical="center" shrinkToFit="1"/>
    </xf>
    <xf numFmtId="0" fontId="1" fillId="0" borderId="9" xfId="5" applyFont="1" applyBorder="1" applyAlignment="1">
      <alignment vertical="center" wrapText="1"/>
    </xf>
    <xf numFmtId="0" fontId="1" fillId="0" borderId="8" xfId="8" applyFont="1" applyBorder="1" applyAlignment="1">
      <alignment vertical="center" wrapText="1"/>
    </xf>
    <xf numFmtId="0" fontId="1" fillId="0" borderId="17" xfId="5" applyFont="1" applyBorder="1" applyAlignment="1">
      <alignment vertical="center" wrapText="1"/>
    </xf>
    <xf numFmtId="0" fontId="1" fillId="0" borderId="0" xfId="8" applyFont="1" applyAlignment="1">
      <alignment vertical="center" wrapText="1"/>
    </xf>
    <xf numFmtId="0" fontId="1" fillId="0" borderId="12" xfId="8" applyFont="1" applyBorder="1" applyAlignment="1">
      <alignment vertical="center" wrapText="1"/>
    </xf>
    <xf numFmtId="0" fontId="1" fillId="0" borderId="5" xfId="8" applyFont="1" applyBorder="1" applyAlignment="1">
      <alignment vertical="center" wrapText="1"/>
    </xf>
    <xf numFmtId="0" fontId="1" fillId="0" borderId="8" xfId="5" applyFont="1" applyBorder="1">
      <alignment vertical="center"/>
    </xf>
    <xf numFmtId="0" fontId="1" fillId="0" borderId="10" xfId="5" applyFont="1" applyBorder="1">
      <alignment vertical="center"/>
    </xf>
    <xf numFmtId="0" fontId="1" fillId="0" borderId="0" xfId="5" applyFont="1">
      <alignment vertical="center"/>
    </xf>
    <xf numFmtId="0" fontId="1" fillId="0" borderId="18" xfId="5" applyFont="1" applyBorder="1">
      <alignment vertical="center"/>
    </xf>
    <xf numFmtId="0" fontId="1" fillId="0" borderId="12" xfId="5" applyFont="1" applyBorder="1">
      <alignment vertical="center"/>
    </xf>
    <xf numFmtId="0" fontId="1" fillId="0" borderId="5" xfId="5" applyFont="1" applyBorder="1">
      <alignment vertical="center"/>
    </xf>
    <xf numFmtId="0" fontId="1" fillId="0" borderId="16" xfId="5" applyFont="1" applyBorder="1">
      <alignment vertical="center"/>
    </xf>
    <xf numFmtId="0" fontId="1" fillId="0" borderId="9" xfId="11" applyNumberFormat="1" applyFont="1" applyFill="1" applyBorder="1" applyAlignment="1">
      <alignment horizontal="justify" vertical="center" wrapText="1"/>
    </xf>
    <xf numFmtId="0" fontId="1" fillId="0" borderId="8" xfId="11" applyNumberFormat="1" applyFont="1" applyFill="1" applyBorder="1" applyAlignment="1">
      <alignment horizontal="justify" vertical="center" wrapText="1"/>
    </xf>
    <xf numFmtId="0" fontId="1" fillId="0" borderId="10" xfId="11" applyNumberFormat="1" applyFont="1" applyFill="1" applyBorder="1" applyAlignment="1">
      <alignment horizontal="justify" vertical="center" wrapText="1"/>
    </xf>
    <xf numFmtId="0" fontId="1" fillId="0" borderId="17" xfId="11" applyNumberFormat="1" applyFont="1" applyFill="1" applyBorder="1" applyAlignment="1">
      <alignment horizontal="justify" vertical="center" wrapText="1"/>
    </xf>
    <xf numFmtId="0" fontId="1" fillId="0" borderId="0" xfId="11" applyNumberFormat="1" applyFont="1" applyFill="1" applyBorder="1" applyAlignment="1">
      <alignment horizontal="justify" vertical="center" wrapText="1"/>
    </xf>
    <xf numFmtId="0" fontId="1" fillId="0" borderId="18" xfId="11" applyNumberFormat="1" applyFont="1" applyFill="1" applyBorder="1" applyAlignment="1">
      <alignment horizontal="justify" vertical="center" wrapText="1"/>
    </xf>
    <xf numFmtId="0" fontId="1" fillId="0" borderId="8" xfId="8" applyFont="1" applyBorder="1" applyAlignment="1">
      <alignment horizontal="center" vertical="center" shrinkToFit="1"/>
    </xf>
    <xf numFmtId="0" fontId="1" fillId="0" borderId="10" xfId="8" applyFont="1" applyBorder="1" applyAlignment="1">
      <alignment horizontal="center" vertical="center" shrinkToFit="1"/>
    </xf>
    <xf numFmtId="0" fontId="1" fillId="0" borderId="0" xfId="8" applyFont="1" applyAlignment="1">
      <alignment horizontal="center" vertical="center" shrinkToFit="1"/>
    </xf>
    <xf numFmtId="0" fontId="1" fillId="0" borderId="18" xfId="8" applyFont="1" applyBorder="1" applyAlignment="1">
      <alignment horizontal="center" vertical="center" shrinkToFit="1"/>
    </xf>
    <xf numFmtId="0" fontId="1" fillId="0" borderId="12" xfId="8" applyFont="1" applyBorder="1" applyAlignment="1">
      <alignment horizontal="center" vertical="center" shrinkToFit="1"/>
    </xf>
    <xf numFmtId="0" fontId="1" fillId="0" borderId="5" xfId="8" applyFont="1" applyBorder="1" applyAlignment="1">
      <alignment horizontal="center" vertical="center" shrinkToFit="1"/>
    </xf>
    <xf numFmtId="0" fontId="1" fillId="0" borderId="16" xfId="8" applyFont="1" applyBorder="1" applyAlignment="1">
      <alignment horizontal="center" vertical="center" shrinkToFit="1"/>
    </xf>
    <xf numFmtId="0" fontId="2" fillId="0" borderId="1" xfId="5" applyFont="1" applyBorder="1" applyAlignment="1">
      <alignment horizontal="center" vertical="center" wrapText="1"/>
    </xf>
    <xf numFmtId="0" fontId="1" fillId="0" borderId="16" xfId="5" applyFont="1" applyBorder="1" applyAlignment="1">
      <alignment horizontal="center" vertical="center"/>
    </xf>
    <xf numFmtId="10" fontId="2" fillId="0" borderId="6" xfId="5" applyNumberFormat="1" applyFont="1" applyBorder="1" applyAlignment="1">
      <alignment horizontal="center" vertical="center"/>
    </xf>
    <xf numFmtId="10" fontId="2" fillId="0" borderId="11" xfId="5" applyNumberFormat="1" applyFont="1" applyBorder="1" applyAlignment="1">
      <alignment horizontal="center" vertical="center"/>
    </xf>
    <xf numFmtId="10" fontId="2" fillId="0" borderId="7" xfId="5" applyNumberFormat="1" applyFont="1" applyBorder="1" applyAlignment="1">
      <alignment horizontal="center" vertical="center"/>
    </xf>
    <xf numFmtId="10" fontId="1" fillId="0" borderId="8" xfId="8" applyNumberFormat="1" applyFont="1" applyBorder="1" applyAlignment="1">
      <alignment horizontal="center" vertical="center"/>
    </xf>
    <xf numFmtId="0" fontId="1" fillId="0" borderId="8" xfId="8" applyFont="1" applyBorder="1" applyAlignment="1">
      <alignment horizontal="center" vertical="center"/>
    </xf>
    <xf numFmtId="10" fontId="1" fillId="0" borderId="8" xfId="8" applyNumberFormat="1" applyFont="1" applyBorder="1" applyAlignment="1">
      <alignment horizontal="left" vertical="center"/>
    </xf>
    <xf numFmtId="0" fontId="1" fillId="0" borderId="10" xfId="8" applyFont="1" applyBorder="1" applyAlignment="1">
      <alignment horizontal="left" vertical="center"/>
    </xf>
    <xf numFmtId="10" fontId="1" fillId="0" borderId="4" xfId="8" applyNumberFormat="1" applyFont="1" applyBorder="1" applyAlignment="1">
      <alignment horizontal="center" vertical="center" shrinkToFit="1"/>
    </xf>
    <xf numFmtId="0" fontId="1" fillId="0" borderId="4" xfId="8" applyFont="1" applyBorder="1" applyAlignment="1">
      <alignment horizontal="center" vertical="center" shrinkToFit="1"/>
    </xf>
    <xf numFmtId="0" fontId="1" fillId="0" borderId="3" xfId="8" applyFont="1" applyBorder="1" applyAlignment="1">
      <alignment horizontal="center" vertical="center" shrinkToFit="1"/>
    </xf>
    <xf numFmtId="0" fontId="10" fillId="0" borderId="2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 vertical="center"/>
    </xf>
    <xf numFmtId="0" fontId="10" fillId="0" borderId="3" xfId="5" applyFont="1" applyBorder="1" applyAlignment="1">
      <alignment horizontal="center" vertical="center"/>
    </xf>
    <xf numFmtId="10" fontId="10" fillId="0" borderId="1" xfId="5" applyNumberFormat="1" applyFont="1" applyBorder="1" applyAlignment="1">
      <alignment horizontal="center" vertical="center" shrinkToFit="1"/>
    </xf>
    <xf numFmtId="0" fontId="1" fillId="0" borderId="6" xfId="5" applyFont="1" applyBorder="1">
      <alignment vertical="center"/>
    </xf>
    <xf numFmtId="10" fontId="1" fillId="0" borderId="1" xfId="5" applyNumberFormat="1" applyFont="1" applyBorder="1" applyAlignment="1">
      <alignment horizontal="center" vertical="center" shrinkToFit="1"/>
    </xf>
    <xf numFmtId="0" fontId="10" fillId="0" borderId="1" xfId="5" applyFont="1" applyBorder="1" applyAlignment="1">
      <alignment horizontal="justify" vertical="center" wrapText="1"/>
    </xf>
    <xf numFmtId="0" fontId="10" fillId="0" borderId="1" xfId="8" applyFont="1" applyBorder="1" applyAlignment="1">
      <alignment horizontal="justify" vertical="center"/>
    </xf>
    <xf numFmtId="0" fontId="10" fillId="0" borderId="2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left" vertical="center" wrapText="1"/>
    </xf>
    <xf numFmtId="0" fontId="12" fillId="0" borderId="4" xfId="5" applyFont="1" applyBorder="1" applyAlignment="1">
      <alignment horizontal="left" vertical="center" wrapText="1"/>
    </xf>
    <xf numFmtId="0" fontId="12" fillId="0" borderId="3" xfId="5" applyFont="1" applyBorder="1" applyAlignment="1">
      <alignment horizontal="left" vertical="center" wrapText="1"/>
    </xf>
    <xf numFmtId="10" fontId="12" fillId="0" borderId="2" xfId="6" applyNumberFormat="1" applyFont="1" applyFill="1" applyBorder="1" applyAlignment="1">
      <alignment horizontal="center" vertical="center" shrinkToFit="1"/>
    </xf>
    <xf numFmtId="10" fontId="12" fillId="0" borderId="4" xfId="6" applyNumberFormat="1" applyFont="1" applyFill="1" applyBorder="1" applyAlignment="1">
      <alignment horizontal="center" vertical="center" shrinkToFit="1"/>
    </xf>
    <xf numFmtId="10" fontId="12" fillId="0" borderId="3" xfId="6" applyNumberFormat="1" applyFont="1" applyFill="1" applyBorder="1" applyAlignment="1">
      <alignment horizontal="center" vertical="center" shrinkToFit="1"/>
    </xf>
    <xf numFmtId="10" fontId="1" fillId="0" borderId="6" xfId="5" applyNumberFormat="1" applyFont="1" applyBorder="1" applyAlignment="1">
      <alignment horizontal="left" vertical="center" wrapText="1"/>
    </xf>
    <xf numFmtId="10" fontId="1" fillId="0" borderId="11" xfId="5" applyNumberFormat="1" applyFont="1" applyBorder="1" applyAlignment="1">
      <alignment horizontal="left" vertical="center" wrapText="1"/>
    </xf>
    <xf numFmtId="168" fontId="1" fillId="0" borderId="9" xfId="2" applyNumberFormat="1" applyFont="1" applyFill="1" applyBorder="1" applyAlignment="1">
      <alignment horizontal="center" vertical="center" shrinkToFit="1"/>
    </xf>
    <xf numFmtId="168" fontId="1" fillId="0" borderId="8" xfId="2" applyNumberFormat="1" applyFont="1" applyFill="1" applyBorder="1" applyAlignment="1">
      <alignment horizontal="center" vertical="center" shrinkToFit="1"/>
    </xf>
    <xf numFmtId="168" fontId="1" fillId="0" borderId="10" xfId="2" applyNumberFormat="1" applyFont="1" applyFill="1" applyBorder="1" applyAlignment="1">
      <alignment horizontal="center" vertical="center" shrinkToFit="1"/>
    </xf>
    <xf numFmtId="168" fontId="1" fillId="0" borderId="17" xfId="2" applyNumberFormat="1" applyFont="1" applyFill="1" applyBorder="1" applyAlignment="1">
      <alignment horizontal="center" vertical="center" shrinkToFit="1"/>
    </xf>
    <xf numFmtId="168" fontId="1" fillId="0" borderId="0" xfId="2" applyNumberFormat="1" applyFont="1" applyFill="1" applyBorder="1" applyAlignment="1">
      <alignment horizontal="center" vertical="center" shrinkToFit="1"/>
    </xf>
    <xf numFmtId="168" fontId="1" fillId="0" borderId="18" xfId="2" applyNumberFormat="1" applyFont="1" applyFill="1" applyBorder="1" applyAlignment="1">
      <alignment horizontal="center" vertical="center" shrinkToFit="1"/>
    </xf>
    <xf numFmtId="168" fontId="1" fillId="0" borderId="12" xfId="2" applyNumberFormat="1" applyFont="1" applyFill="1" applyBorder="1" applyAlignment="1">
      <alignment horizontal="center" vertical="center" shrinkToFit="1"/>
    </xf>
    <xf numFmtId="168" fontId="1" fillId="0" borderId="5" xfId="2" applyNumberFormat="1" applyFont="1" applyFill="1" applyBorder="1" applyAlignment="1">
      <alignment horizontal="center" vertical="center" shrinkToFit="1"/>
    </xf>
    <xf numFmtId="168" fontId="1" fillId="0" borderId="16" xfId="2" applyNumberFormat="1" applyFont="1" applyFill="1" applyBorder="1" applyAlignment="1">
      <alignment horizontal="center" vertical="center" shrinkToFit="1"/>
    </xf>
    <xf numFmtId="2" fontId="1" fillId="0" borderId="5" xfId="8" applyNumberFormat="1" applyFont="1" applyBorder="1" applyAlignment="1">
      <alignment horizontal="center" vertical="center" wrapText="1"/>
    </xf>
    <xf numFmtId="165" fontId="1" fillId="0" borderId="5" xfId="12" applyNumberFormat="1" applyFont="1" applyFill="1" applyBorder="1" applyAlignment="1">
      <alignment horizontal="center" vertical="center" wrapText="1"/>
    </xf>
    <xf numFmtId="9" fontId="1" fillId="0" borderId="5" xfId="2" applyFont="1" applyFill="1" applyBorder="1" applyAlignment="1">
      <alignment horizontal="center" vertical="center" wrapText="1"/>
    </xf>
    <xf numFmtId="10" fontId="1" fillId="0" borderId="5" xfId="2" applyNumberFormat="1" applyFont="1" applyFill="1" applyBorder="1" applyAlignment="1">
      <alignment horizontal="center" vertical="center" wrapText="1"/>
    </xf>
    <xf numFmtId="169" fontId="1" fillId="0" borderId="5" xfId="8" applyNumberFormat="1" applyFont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7">
    <cellStyle name="Moeda" xfId="1" builtinId="4"/>
    <cellStyle name="Moeda 2" xfId="3" xr:uid="{00000000-0005-0000-0000-000001000000}"/>
    <cellStyle name="Moeda 2 2" xfId="16" xr:uid="{00000000-0005-0000-0000-000002000000}"/>
    <cellStyle name="Moeda 2 2 2" xfId="7" xr:uid="{00000000-0005-0000-0000-000003000000}"/>
    <cellStyle name="Moeda 4" xfId="15" xr:uid="{00000000-0005-0000-0000-000004000000}"/>
    <cellStyle name="Normal" xfId="0" builtinId="0"/>
    <cellStyle name="Normal 2 4 2 2" xfId="13" xr:uid="{00000000-0005-0000-0000-000006000000}"/>
    <cellStyle name="Normal 2 5 2 2 2" xfId="10" xr:uid="{00000000-0005-0000-0000-000007000000}"/>
    <cellStyle name="Normal 2 9 2" xfId="9" xr:uid="{00000000-0005-0000-0000-000008000000}"/>
    <cellStyle name="Normal 3 3" xfId="14" xr:uid="{00000000-0005-0000-0000-000009000000}"/>
    <cellStyle name="Normal 7 2" xfId="8" xr:uid="{00000000-0005-0000-0000-00000A000000}"/>
    <cellStyle name="Normal_Planilha em Proposta 123 de 2003" xfId="5" xr:uid="{00000000-0005-0000-0000-00000B000000}"/>
    <cellStyle name="Porcentagem" xfId="2" builtinId="5"/>
    <cellStyle name="Porcentagem 2 2" xfId="6" xr:uid="{00000000-0005-0000-0000-00000D000000}"/>
    <cellStyle name="Porcentagem 5 2" xfId="12" xr:uid="{00000000-0005-0000-0000-00000E000000}"/>
    <cellStyle name="Vírgula 2" xfId="4" xr:uid="{00000000-0005-0000-0000-00000F000000}"/>
    <cellStyle name="Vírgula 2 2 2" xfId="11" xr:uid="{00000000-0005-0000-0000-000010000000}"/>
  </cellStyles>
  <dxfs count="0"/>
  <tableStyles count="0" defaultTableStyle="TableStyleMedium2" defaultPivotStyle="PivotStyleLight16"/>
  <colors>
    <mruColors>
      <color rgb="FFF1955D"/>
      <color rgb="FFEDF0F3"/>
      <color rgb="FF8196FF"/>
      <color rgb="FFFA6C54"/>
      <color rgb="FFF9D5FF"/>
      <color rgb="FF7FCCF7"/>
      <color rgb="FF99DFEB"/>
      <color rgb="FFD6E5FA"/>
      <color rgb="FFB5E3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  <pageSetUpPr fitToPage="1"/>
  </sheetPr>
  <dimension ref="A1:H117"/>
  <sheetViews>
    <sheetView view="pageBreakPreview" zoomScale="91" zoomScaleNormal="91" zoomScaleSheetLayoutView="91" workbookViewId="0">
      <selection activeCell="F125" sqref="F125"/>
    </sheetView>
  </sheetViews>
  <sheetFormatPr defaultColWidth="8.85546875" defaultRowHeight="15" x14ac:dyDescent="0.25"/>
  <cols>
    <col min="1" max="1" width="4.7109375" style="110" bestFit="1" customWidth="1"/>
    <col min="2" max="2" width="77.140625" style="101" bestFit="1" customWidth="1"/>
    <col min="3" max="3" width="12.42578125" style="101" bestFit="1" customWidth="1"/>
    <col min="4" max="4" width="14" style="101" bestFit="1" customWidth="1"/>
    <col min="5" max="5" width="11.5703125" style="101" bestFit="1" customWidth="1"/>
    <col min="6" max="6" width="29.140625" style="101" bestFit="1" customWidth="1"/>
    <col min="7" max="7" width="33.85546875" style="101" customWidth="1"/>
    <col min="8" max="16384" width="8.85546875" style="101"/>
  </cols>
  <sheetData>
    <row r="1" spans="1:8" ht="23.25" customHeight="1" x14ac:dyDescent="0.25">
      <c r="A1" s="172" t="s">
        <v>246</v>
      </c>
      <c r="B1" s="172"/>
      <c r="C1" s="172"/>
      <c r="D1" s="172"/>
    </row>
    <row r="2" spans="1:8" x14ac:dyDescent="0.25">
      <c r="A2" s="1">
        <v>1</v>
      </c>
      <c r="B2" s="117" t="s">
        <v>20</v>
      </c>
      <c r="C2" s="173" t="s">
        <v>251</v>
      </c>
      <c r="D2" s="173"/>
    </row>
    <row r="3" spans="1:8" x14ac:dyDescent="0.25">
      <c r="A3" s="1">
        <v>2</v>
      </c>
      <c r="B3" s="117" t="s">
        <v>21</v>
      </c>
      <c r="C3" s="173">
        <v>44</v>
      </c>
      <c r="D3" s="173"/>
    </row>
    <row r="4" spans="1:8" ht="15.75" x14ac:dyDescent="0.25">
      <c r="A4" s="1">
        <v>3</v>
      </c>
      <c r="B4" s="118" t="s">
        <v>252</v>
      </c>
      <c r="C4" s="119">
        <v>2026</v>
      </c>
      <c r="D4" s="120">
        <v>2749.17</v>
      </c>
    </row>
    <row r="5" spans="1:8" x14ac:dyDescent="0.25">
      <c r="A5" s="162"/>
      <c r="B5" s="162"/>
      <c r="C5" s="162"/>
      <c r="D5" s="162"/>
    </row>
    <row r="6" spans="1:8" ht="18.75" customHeight="1" x14ac:dyDescent="0.25">
      <c r="A6" s="159" t="s">
        <v>22</v>
      </c>
      <c r="B6" s="159"/>
      <c r="C6" s="159"/>
      <c r="D6" s="159"/>
    </row>
    <row r="7" spans="1:8" x14ac:dyDescent="0.25">
      <c r="A7" s="121" t="s">
        <v>23</v>
      </c>
      <c r="B7" s="122" t="s">
        <v>24</v>
      </c>
      <c r="C7" s="121" t="s">
        <v>25</v>
      </c>
      <c r="D7" s="121" t="s">
        <v>26</v>
      </c>
    </row>
    <row r="8" spans="1:8" x14ac:dyDescent="0.25">
      <c r="A8" s="1" t="s">
        <v>27</v>
      </c>
      <c r="B8" s="117" t="s">
        <v>28</v>
      </c>
      <c r="C8" s="1" t="s">
        <v>29</v>
      </c>
      <c r="D8" s="123">
        <v>2749.17</v>
      </c>
      <c r="F8" s="102"/>
      <c r="G8" s="102"/>
      <c r="H8" s="102"/>
    </row>
    <row r="9" spans="1:8" x14ac:dyDescent="0.25">
      <c r="A9" s="1" t="s">
        <v>30</v>
      </c>
      <c r="B9" s="117" t="s">
        <v>31</v>
      </c>
      <c r="C9" s="124">
        <v>0</v>
      </c>
      <c r="D9" s="125">
        <f>D8*C9</f>
        <v>0</v>
      </c>
      <c r="F9" s="102"/>
      <c r="G9" s="102"/>
      <c r="H9" s="102"/>
    </row>
    <row r="10" spans="1:8" x14ac:dyDescent="0.25">
      <c r="A10" s="165" t="s">
        <v>32</v>
      </c>
      <c r="B10" s="175" t="s">
        <v>33</v>
      </c>
      <c r="C10" s="126">
        <v>0</v>
      </c>
      <c r="D10" s="177">
        <f>IF(C3=44,(D8+D9)/220,(IF(C3=36,(D8+D9)/180,(D8+D9)/150)))*C10*(C11*1.142857)</f>
        <v>0</v>
      </c>
      <c r="F10" s="102"/>
      <c r="G10" s="102"/>
      <c r="H10" s="102"/>
    </row>
    <row r="11" spans="1:8" x14ac:dyDescent="0.25">
      <c r="A11" s="174"/>
      <c r="B11" s="176"/>
      <c r="C11" s="1">
        <v>0</v>
      </c>
      <c r="D11" s="178"/>
      <c r="F11" s="102"/>
      <c r="G11" s="102"/>
      <c r="H11" s="102"/>
    </row>
    <row r="12" spans="1:8" x14ac:dyDescent="0.25">
      <c r="A12" s="127" t="s">
        <v>34</v>
      </c>
      <c r="B12" s="128" t="s">
        <v>35</v>
      </c>
      <c r="C12" s="1">
        <v>1</v>
      </c>
      <c r="D12" s="2">
        <f>D10/C12*6</f>
        <v>0</v>
      </c>
      <c r="F12" s="102"/>
      <c r="G12" s="102"/>
      <c r="H12" s="102"/>
    </row>
    <row r="13" spans="1:8" ht="15.75" customHeight="1" x14ac:dyDescent="0.25">
      <c r="A13" s="167" t="s">
        <v>36</v>
      </c>
      <c r="B13" s="179"/>
      <c r="C13" s="168"/>
      <c r="D13" s="111">
        <f>SUM(D8:D12)</f>
        <v>2749.17</v>
      </c>
      <c r="F13" s="102"/>
      <c r="G13" s="102"/>
      <c r="H13" s="102"/>
    </row>
    <row r="14" spans="1:8" x14ac:dyDescent="0.25">
      <c r="A14" s="166"/>
      <c r="B14" s="166"/>
      <c r="C14" s="166"/>
      <c r="D14" s="166"/>
      <c r="F14" s="102"/>
      <c r="G14" s="102"/>
      <c r="H14" s="102"/>
    </row>
    <row r="15" spans="1:8" ht="18.75" customHeight="1" x14ac:dyDescent="0.25">
      <c r="A15" s="159" t="s">
        <v>37</v>
      </c>
      <c r="B15" s="159"/>
      <c r="C15" s="159"/>
      <c r="D15" s="159"/>
    </row>
    <row r="16" spans="1:8" ht="15" customHeight="1" x14ac:dyDescent="0.25">
      <c r="A16" s="169" t="s">
        <v>38</v>
      </c>
      <c r="B16" s="169"/>
      <c r="C16" s="169"/>
      <c r="D16" s="169"/>
    </row>
    <row r="17" spans="1:7" x14ac:dyDescent="0.25">
      <c r="A17" s="121" t="s">
        <v>39</v>
      </c>
      <c r="B17" s="122" t="s">
        <v>40</v>
      </c>
      <c r="C17" s="121" t="s">
        <v>25</v>
      </c>
      <c r="D17" s="121" t="s">
        <v>26</v>
      </c>
    </row>
    <row r="18" spans="1:7" x14ac:dyDescent="0.25">
      <c r="A18" s="1" t="s">
        <v>27</v>
      </c>
      <c r="B18" s="117" t="s">
        <v>41</v>
      </c>
      <c r="C18" s="129">
        <v>8.3299999999999999E-2</v>
      </c>
      <c r="D18" s="125">
        <f>ROUND(D13*C18,2)</f>
        <v>229.01</v>
      </c>
    </row>
    <row r="19" spans="1:7" x14ac:dyDescent="0.25">
      <c r="A19" s="1" t="s">
        <v>30</v>
      </c>
      <c r="B19" s="117" t="s">
        <v>42</v>
      </c>
      <c r="C19" s="129">
        <v>2.7799999999999998E-2</v>
      </c>
      <c r="D19" s="125">
        <f>ROUND(D13*C19,2)</f>
        <v>76.430000000000007</v>
      </c>
    </row>
    <row r="20" spans="1:7" x14ac:dyDescent="0.25">
      <c r="A20" s="1" t="s">
        <v>32</v>
      </c>
      <c r="B20" s="117" t="s">
        <v>43</v>
      </c>
      <c r="C20" s="129">
        <f>(C18+C19)*C33</f>
        <v>4.0884800000000006E-2</v>
      </c>
      <c r="D20" s="125">
        <f>ROUND(D13*C20,2)</f>
        <v>112.4</v>
      </c>
    </row>
    <row r="21" spans="1:7" ht="15.75" customHeight="1" x14ac:dyDescent="0.25">
      <c r="A21" s="154" t="s">
        <v>36</v>
      </c>
      <c r="B21" s="154"/>
      <c r="C21" s="130">
        <f>SUM(C18:C20)</f>
        <v>0.1519848</v>
      </c>
      <c r="D21" s="111">
        <f>SUM(D18:D20)</f>
        <v>417.84000000000003</v>
      </c>
    </row>
    <row r="22" spans="1:7" ht="15.75" x14ac:dyDescent="0.25">
      <c r="A22" s="171"/>
      <c r="B22" s="171"/>
      <c r="C22" s="171"/>
      <c r="D22" s="171"/>
    </row>
    <row r="23" spans="1:7" ht="15" customHeight="1" x14ac:dyDescent="0.25">
      <c r="A23" s="169" t="s">
        <v>44</v>
      </c>
      <c r="B23" s="169"/>
      <c r="C23" s="169"/>
      <c r="D23" s="169"/>
    </row>
    <row r="24" spans="1:7" x14ac:dyDescent="0.25">
      <c r="A24" s="121" t="s">
        <v>45</v>
      </c>
      <c r="B24" s="122" t="s">
        <v>46</v>
      </c>
      <c r="C24" s="121" t="s">
        <v>47</v>
      </c>
      <c r="D24" s="121" t="s">
        <v>26</v>
      </c>
    </row>
    <row r="25" spans="1:7" x14ac:dyDescent="0.25">
      <c r="A25" s="1" t="s">
        <v>27</v>
      </c>
      <c r="B25" s="117" t="s">
        <v>48</v>
      </c>
      <c r="C25" s="129">
        <v>0.2</v>
      </c>
      <c r="D25" s="125">
        <f>ROUND((D13)*C25,2)</f>
        <v>549.83000000000004</v>
      </c>
      <c r="F25" s="103"/>
      <c r="G25" s="104"/>
    </row>
    <row r="26" spans="1:7" x14ac:dyDescent="0.25">
      <c r="A26" s="1" t="s">
        <v>49</v>
      </c>
      <c r="B26" s="117" t="s">
        <v>50</v>
      </c>
      <c r="C26" s="129">
        <v>2.5000000000000001E-2</v>
      </c>
      <c r="D26" s="125">
        <f>ROUND((D13)*C26,2)</f>
        <v>68.73</v>
      </c>
      <c r="F26" s="103"/>
      <c r="G26" s="104"/>
    </row>
    <row r="27" spans="1:7" x14ac:dyDescent="0.25">
      <c r="A27" s="1" t="s">
        <v>32</v>
      </c>
      <c r="B27" s="117" t="s">
        <v>51</v>
      </c>
      <c r="C27" s="129">
        <v>0.03</v>
      </c>
      <c r="D27" s="125">
        <f>ROUND((D13)*C27,2)</f>
        <v>82.48</v>
      </c>
      <c r="F27" s="103"/>
      <c r="G27" s="104"/>
    </row>
    <row r="28" spans="1:7" x14ac:dyDescent="0.25">
      <c r="A28" s="1" t="s">
        <v>52</v>
      </c>
      <c r="B28" s="117" t="s">
        <v>53</v>
      </c>
      <c r="C28" s="129">
        <v>1.4999999999999999E-2</v>
      </c>
      <c r="D28" s="125">
        <f>ROUND((D13)*C28,2)</f>
        <v>41.24</v>
      </c>
      <c r="F28" s="103"/>
      <c r="G28" s="104"/>
    </row>
    <row r="29" spans="1:7" x14ac:dyDescent="0.25">
      <c r="A29" s="1" t="s">
        <v>54</v>
      </c>
      <c r="B29" s="117" t="s">
        <v>55</v>
      </c>
      <c r="C29" s="129">
        <v>0.01</v>
      </c>
      <c r="D29" s="125">
        <f>ROUND((D13)*C29,2)</f>
        <v>27.49</v>
      </c>
      <c r="F29" s="103"/>
      <c r="G29" s="104"/>
    </row>
    <row r="30" spans="1:7" x14ac:dyDescent="0.25">
      <c r="A30" s="1" t="s">
        <v>56</v>
      </c>
      <c r="B30" s="117" t="s">
        <v>57</v>
      </c>
      <c r="C30" s="129">
        <v>6.0000000000000001E-3</v>
      </c>
      <c r="D30" s="125">
        <f>ROUND((D13)*C30,2)</f>
        <v>16.5</v>
      </c>
      <c r="F30" s="105"/>
      <c r="G30" s="104"/>
    </row>
    <row r="31" spans="1:7" x14ac:dyDescent="0.25">
      <c r="A31" s="1" t="s">
        <v>58</v>
      </c>
      <c r="B31" s="117" t="s">
        <v>59</v>
      </c>
      <c r="C31" s="129">
        <v>2E-3</v>
      </c>
      <c r="D31" s="125">
        <f>ROUND((D13)*C31,2)</f>
        <v>5.5</v>
      </c>
      <c r="F31" s="103"/>
      <c r="G31" s="104"/>
    </row>
    <row r="32" spans="1:7" x14ac:dyDescent="0.25">
      <c r="A32" s="1" t="s">
        <v>60</v>
      </c>
      <c r="B32" s="117" t="s">
        <v>7</v>
      </c>
      <c r="C32" s="129">
        <v>0.08</v>
      </c>
      <c r="D32" s="125">
        <f>ROUND((D13)*C32,2)</f>
        <v>219.93</v>
      </c>
      <c r="F32" s="103"/>
      <c r="G32" s="104"/>
    </row>
    <row r="33" spans="1:6" ht="15.75" customHeight="1" x14ac:dyDescent="0.25">
      <c r="A33" s="154" t="s">
        <v>36</v>
      </c>
      <c r="B33" s="154"/>
      <c r="C33" s="130">
        <f>SUM(C25:C32)</f>
        <v>0.36800000000000005</v>
      </c>
      <c r="D33" s="111">
        <f>SUM(D25:D32)</f>
        <v>1011.7</v>
      </c>
      <c r="F33" s="102"/>
    </row>
    <row r="34" spans="1:6" ht="15.75" x14ac:dyDescent="0.25">
      <c r="A34" s="180"/>
      <c r="B34" s="181"/>
      <c r="C34" s="181"/>
      <c r="D34" s="182"/>
    </row>
    <row r="35" spans="1:6" ht="15" customHeight="1" x14ac:dyDescent="0.25">
      <c r="A35" s="169" t="s">
        <v>61</v>
      </c>
      <c r="B35" s="169"/>
      <c r="C35" s="169"/>
      <c r="D35" s="169"/>
    </row>
    <row r="36" spans="1:6" x14ac:dyDescent="0.25">
      <c r="A36" s="131" t="s">
        <v>62</v>
      </c>
      <c r="B36" s="132" t="s">
        <v>63</v>
      </c>
      <c r="C36" s="131"/>
      <c r="D36" s="131" t="s">
        <v>26</v>
      </c>
    </row>
    <row r="37" spans="1:6" x14ac:dyDescent="0.25">
      <c r="A37" s="162" t="s">
        <v>27</v>
      </c>
      <c r="B37" s="156" t="s">
        <v>64</v>
      </c>
      <c r="C37" s="133">
        <v>11</v>
      </c>
      <c r="D37" s="183">
        <f>C37*C38</f>
        <v>242</v>
      </c>
    </row>
    <row r="38" spans="1:6" x14ac:dyDescent="0.25">
      <c r="A38" s="162"/>
      <c r="B38" s="156"/>
      <c r="C38" s="134">
        <v>22</v>
      </c>
      <c r="D38" s="183"/>
    </row>
    <row r="39" spans="1:6" x14ac:dyDescent="0.25">
      <c r="A39" s="1" t="s">
        <v>49</v>
      </c>
      <c r="B39" s="117" t="s">
        <v>65</v>
      </c>
      <c r="C39" s="135">
        <f>-6%</f>
        <v>-0.06</v>
      </c>
      <c r="D39" s="123">
        <f>C39*D8</f>
        <v>-164.9502</v>
      </c>
    </row>
    <row r="40" spans="1:6" x14ac:dyDescent="0.25">
      <c r="A40" s="1" t="s">
        <v>66</v>
      </c>
      <c r="B40" s="117" t="s">
        <v>217</v>
      </c>
      <c r="C40" s="136">
        <v>46.38</v>
      </c>
      <c r="D40" s="125">
        <f>(C40-0)*22</f>
        <v>1020.36</v>
      </c>
    </row>
    <row r="41" spans="1:6" x14ac:dyDescent="0.25">
      <c r="A41" s="1" t="s">
        <v>34</v>
      </c>
      <c r="B41" s="117" t="s">
        <v>67</v>
      </c>
      <c r="C41" s="137" t="s">
        <v>19</v>
      </c>
      <c r="D41" s="123">
        <v>209.4</v>
      </c>
    </row>
    <row r="42" spans="1:6" x14ac:dyDescent="0.25">
      <c r="A42" s="1" t="s">
        <v>68</v>
      </c>
      <c r="B42" s="117" t="s">
        <v>218</v>
      </c>
      <c r="C42" s="137" t="s">
        <v>19</v>
      </c>
      <c r="D42" s="123">
        <v>14.28</v>
      </c>
    </row>
    <row r="43" spans="1:6" x14ac:dyDescent="0.25">
      <c r="A43" s="1" t="s">
        <v>68</v>
      </c>
      <c r="B43" s="117" t="s">
        <v>69</v>
      </c>
      <c r="C43" s="137" t="s">
        <v>19</v>
      </c>
      <c r="D43" s="123">
        <v>3.78</v>
      </c>
      <c r="E43" s="106"/>
    </row>
    <row r="44" spans="1:6" ht="15.75" customHeight="1" x14ac:dyDescent="0.25">
      <c r="A44" s="154" t="s">
        <v>36</v>
      </c>
      <c r="B44" s="154"/>
      <c r="C44" s="154"/>
      <c r="D44" s="111">
        <f>SUM(D37:D43)</f>
        <v>1324.8697999999999</v>
      </c>
    </row>
    <row r="45" spans="1:6" ht="15.75" x14ac:dyDescent="0.25">
      <c r="A45" s="157"/>
      <c r="B45" s="157"/>
      <c r="C45" s="157"/>
      <c r="D45" s="157"/>
      <c r="E45" s="106"/>
    </row>
    <row r="46" spans="1:6" ht="15" customHeight="1" x14ac:dyDescent="0.25">
      <c r="A46" s="169" t="s">
        <v>70</v>
      </c>
      <c r="B46" s="169"/>
      <c r="C46" s="169"/>
      <c r="D46" s="169"/>
    </row>
    <row r="47" spans="1:6" x14ac:dyDescent="0.25">
      <c r="A47" s="131">
        <v>2</v>
      </c>
      <c r="B47" s="160" t="s">
        <v>71</v>
      </c>
      <c r="C47" s="160"/>
      <c r="D47" s="131" t="s">
        <v>26</v>
      </c>
    </row>
    <row r="48" spans="1:6" x14ac:dyDescent="0.25">
      <c r="A48" s="1" t="s">
        <v>39</v>
      </c>
      <c r="B48" s="156" t="s">
        <v>72</v>
      </c>
      <c r="C48" s="156"/>
      <c r="D48" s="138">
        <f>D21</f>
        <v>417.84000000000003</v>
      </c>
    </row>
    <row r="49" spans="1:8" x14ac:dyDescent="0.25">
      <c r="A49" s="1" t="s">
        <v>45</v>
      </c>
      <c r="B49" s="156" t="s">
        <v>73</v>
      </c>
      <c r="C49" s="156"/>
      <c r="D49" s="138">
        <f>D33</f>
        <v>1011.7</v>
      </c>
    </row>
    <row r="50" spans="1:8" x14ac:dyDescent="0.25">
      <c r="A50" s="1" t="s">
        <v>62</v>
      </c>
      <c r="B50" s="156" t="s">
        <v>74</v>
      </c>
      <c r="C50" s="156"/>
      <c r="D50" s="138">
        <f>D44</f>
        <v>1324.8697999999999</v>
      </c>
    </row>
    <row r="51" spans="1:8" ht="15.75" customHeight="1" x14ac:dyDescent="0.25">
      <c r="A51" s="154" t="s">
        <v>36</v>
      </c>
      <c r="B51" s="154"/>
      <c r="C51" s="154"/>
      <c r="D51" s="139">
        <f>SUM(D48:D50)</f>
        <v>2754.4097999999999</v>
      </c>
    </row>
    <row r="52" spans="1:8" x14ac:dyDescent="0.25">
      <c r="A52" s="166"/>
      <c r="B52" s="166"/>
      <c r="C52" s="166"/>
      <c r="D52" s="166"/>
    </row>
    <row r="53" spans="1:8" ht="18.75" customHeight="1" x14ac:dyDescent="0.25">
      <c r="A53" s="159" t="s">
        <v>75</v>
      </c>
      <c r="B53" s="159"/>
      <c r="C53" s="159"/>
      <c r="D53" s="159"/>
    </row>
    <row r="54" spans="1:8" x14ac:dyDescent="0.25">
      <c r="A54" s="121">
        <v>3</v>
      </c>
      <c r="B54" s="122" t="s">
        <v>76</v>
      </c>
      <c r="C54" s="121" t="s">
        <v>25</v>
      </c>
      <c r="D54" s="121" t="s">
        <v>26</v>
      </c>
    </row>
    <row r="55" spans="1:8" x14ac:dyDescent="0.25">
      <c r="A55" s="1" t="s">
        <v>77</v>
      </c>
      <c r="B55" s="117" t="s">
        <v>78</v>
      </c>
      <c r="C55" s="140">
        <f>1/12*3.5/100</f>
        <v>2.9166666666666664E-3</v>
      </c>
      <c r="D55" s="125">
        <f>ROUND(D13*C55,2)</f>
        <v>8.02</v>
      </c>
      <c r="G55" s="103"/>
      <c r="H55" s="104"/>
    </row>
    <row r="56" spans="1:8" x14ac:dyDescent="0.25">
      <c r="A56" s="1" t="s">
        <v>30</v>
      </c>
      <c r="B56" s="117" t="s">
        <v>208</v>
      </c>
      <c r="C56" s="141">
        <f>3.5/100*1/12*(1/12+(1+1/3)/12)</f>
        <v>5.6712962962962956E-4</v>
      </c>
      <c r="D56" s="125">
        <f>D13*C56</f>
        <v>1.5591357638888887</v>
      </c>
      <c r="G56" s="103"/>
      <c r="H56" s="104"/>
    </row>
    <row r="57" spans="1:8" x14ac:dyDescent="0.25">
      <c r="A57" s="1" t="s">
        <v>66</v>
      </c>
      <c r="B57" s="117" t="s">
        <v>209</v>
      </c>
      <c r="C57" s="142">
        <f>(C33-C32)*1/12*C55</f>
        <v>7.0000000000000007E-5</v>
      </c>
      <c r="D57" s="125">
        <f>D13*C57</f>
        <v>0.19244190000000003</v>
      </c>
      <c r="G57" s="103"/>
      <c r="H57" s="104"/>
    </row>
    <row r="58" spans="1:8" x14ac:dyDescent="0.25">
      <c r="A58" s="1" t="s">
        <v>34</v>
      </c>
      <c r="B58" s="117" t="s">
        <v>79</v>
      </c>
      <c r="C58" s="143">
        <f>7/30/12</f>
        <v>1.9444444444444445E-2</v>
      </c>
      <c r="D58" s="125">
        <f>D13*C58</f>
        <v>53.456083333333332</v>
      </c>
      <c r="G58" s="103"/>
      <c r="H58" s="104"/>
    </row>
    <row r="59" spans="1:8" ht="30" customHeight="1" x14ac:dyDescent="0.25">
      <c r="A59" s="1" t="s">
        <v>54</v>
      </c>
      <c r="B59" s="117" t="s">
        <v>210</v>
      </c>
      <c r="C59" s="144">
        <f>8/100*(C55+C56)</f>
        <v>2.787037037037037E-4</v>
      </c>
      <c r="D59" s="125">
        <f>D13*C59</f>
        <v>0.76620386111111116</v>
      </c>
      <c r="G59" s="103"/>
      <c r="H59" s="104"/>
    </row>
    <row r="60" spans="1:8" x14ac:dyDescent="0.25">
      <c r="A60" s="1" t="s">
        <v>56</v>
      </c>
      <c r="B60" s="117" t="s">
        <v>80</v>
      </c>
      <c r="C60" s="129">
        <f>8%*40%</f>
        <v>3.2000000000000001E-2</v>
      </c>
      <c r="D60" s="125">
        <f>D13*C60</f>
        <v>87.973440000000011</v>
      </c>
      <c r="E60" s="107"/>
    </row>
    <row r="61" spans="1:8" ht="15.75" customHeight="1" x14ac:dyDescent="0.25">
      <c r="A61" s="167" t="s">
        <v>36</v>
      </c>
      <c r="B61" s="168"/>
      <c r="C61" s="130">
        <f>SUM(C55:C60)</f>
        <v>5.5276944444444448E-2</v>
      </c>
      <c r="D61" s="111">
        <f>SUM(D55:D60)</f>
        <v>151.96730485833334</v>
      </c>
    </row>
    <row r="62" spans="1:8" x14ac:dyDescent="0.25">
      <c r="A62" s="166"/>
      <c r="B62" s="166"/>
      <c r="C62" s="166"/>
      <c r="D62" s="166"/>
    </row>
    <row r="63" spans="1:8" ht="18.75" customHeight="1" x14ac:dyDescent="0.25">
      <c r="A63" s="159" t="s">
        <v>81</v>
      </c>
      <c r="B63" s="159"/>
      <c r="C63" s="159"/>
      <c r="D63" s="159"/>
    </row>
    <row r="64" spans="1:8" ht="15" customHeight="1" x14ac:dyDescent="0.25">
      <c r="A64" s="169" t="s">
        <v>82</v>
      </c>
      <c r="B64" s="169"/>
      <c r="C64" s="169"/>
      <c r="D64" s="169"/>
    </row>
    <row r="65" spans="1:8" x14ac:dyDescent="0.25">
      <c r="A65" s="121" t="s">
        <v>83</v>
      </c>
      <c r="B65" s="122" t="s">
        <v>84</v>
      </c>
      <c r="C65" s="121" t="s">
        <v>85</v>
      </c>
      <c r="D65" s="121" t="s">
        <v>26</v>
      </c>
      <c r="G65" s="103"/>
      <c r="H65" s="104"/>
    </row>
    <row r="66" spans="1:8" x14ac:dyDescent="0.25">
      <c r="A66" s="1" t="s">
        <v>77</v>
      </c>
      <c r="B66" s="117" t="s">
        <v>6</v>
      </c>
      <c r="C66" s="129">
        <f>1/12</f>
        <v>8.3333333333333329E-2</v>
      </c>
      <c r="D66" s="125">
        <f>D13*C66</f>
        <v>229.0975</v>
      </c>
      <c r="G66" s="103"/>
      <c r="H66" s="104"/>
    </row>
    <row r="67" spans="1:8" x14ac:dyDescent="0.25">
      <c r="A67" s="1" t="s">
        <v>49</v>
      </c>
      <c r="B67" s="117" t="s">
        <v>86</v>
      </c>
      <c r="C67" s="129">
        <v>1.15E-2</v>
      </c>
      <c r="D67" s="125">
        <f>D13*C67</f>
        <v>31.615455000000001</v>
      </c>
      <c r="G67" s="108"/>
      <c r="H67" s="104"/>
    </row>
    <row r="68" spans="1:8" x14ac:dyDescent="0.25">
      <c r="A68" s="1" t="s">
        <v>32</v>
      </c>
      <c r="B68" s="117" t="s">
        <v>84</v>
      </c>
      <c r="C68" s="129">
        <v>2.8E-3</v>
      </c>
      <c r="D68" s="125">
        <f>D13*C68</f>
        <v>7.6976760000000004</v>
      </c>
      <c r="G68" s="103"/>
      <c r="H68" s="104"/>
    </row>
    <row r="69" spans="1:8" x14ac:dyDescent="0.25">
      <c r="A69" s="1" t="s">
        <v>52</v>
      </c>
      <c r="B69" s="117" t="s">
        <v>87</v>
      </c>
      <c r="C69" s="129">
        <f>1/30*5/12*5/100</f>
        <v>6.9444444444444447E-4</v>
      </c>
      <c r="D69" s="125">
        <f>D13*C69</f>
        <v>1.9091458333333335</v>
      </c>
      <c r="G69" s="103"/>
      <c r="H69" s="104"/>
    </row>
    <row r="70" spans="1:8" x14ac:dyDescent="0.25">
      <c r="A70" s="1" t="s">
        <v>54</v>
      </c>
      <c r="B70" s="117" t="s">
        <v>88</v>
      </c>
      <c r="C70" s="129">
        <v>3.3E-3</v>
      </c>
      <c r="D70" s="125">
        <f>D13*C70</f>
        <v>9.072261000000001</v>
      </c>
      <c r="G70" s="103"/>
      <c r="H70" s="104"/>
    </row>
    <row r="71" spans="1:8" x14ac:dyDescent="0.25">
      <c r="A71" s="1" t="s">
        <v>56</v>
      </c>
      <c r="B71" s="117" t="s">
        <v>89</v>
      </c>
      <c r="C71" s="145">
        <v>5.7000000000000002E-3</v>
      </c>
      <c r="D71" s="138">
        <f>ROUND((D13+D51+D61)*C71*(4/12),2)</f>
        <v>10.75</v>
      </c>
      <c r="G71" s="103"/>
      <c r="H71" s="104"/>
    </row>
    <row r="72" spans="1:8" x14ac:dyDescent="0.25">
      <c r="A72" s="1" t="s">
        <v>60</v>
      </c>
      <c r="B72" s="117" t="s">
        <v>90</v>
      </c>
      <c r="C72" s="124">
        <f>(C66+C67+C68+C69+C70+C71)*C33</f>
        <v>3.9496622222222222E-2</v>
      </c>
      <c r="D72" s="146">
        <f>D13*C72</f>
        <v>108.58292891466667</v>
      </c>
      <c r="G72" s="103"/>
      <c r="H72" s="104"/>
    </row>
    <row r="73" spans="1:8" ht="15.75" customHeight="1" x14ac:dyDescent="0.25">
      <c r="A73" s="167" t="s">
        <v>36</v>
      </c>
      <c r="B73" s="168"/>
      <c r="C73" s="130">
        <f>SUM(C66:C72)</f>
        <v>0.14682439999999997</v>
      </c>
      <c r="D73" s="111">
        <f>SUM(D66:D72)</f>
        <v>398.72496674800004</v>
      </c>
    </row>
    <row r="74" spans="1:8" ht="15.75" x14ac:dyDescent="0.25">
      <c r="A74" s="157"/>
      <c r="B74" s="157"/>
      <c r="C74" s="157"/>
      <c r="D74" s="157"/>
    </row>
    <row r="75" spans="1:8" ht="15" customHeight="1" x14ac:dyDescent="0.25">
      <c r="A75" s="169" t="s">
        <v>91</v>
      </c>
      <c r="B75" s="169"/>
      <c r="C75" s="169"/>
      <c r="D75" s="169"/>
    </row>
    <row r="76" spans="1:8" x14ac:dyDescent="0.25">
      <c r="A76" s="121" t="s">
        <v>92</v>
      </c>
      <c r="B76" s="170" t="s">
        <v>93</v>
      </c>
      <c r="C76" s="170"/>
      <c r="D76" s="121" t="s">
        <v>26</v>
      </c>
    </row>
    <row r="77" spans="1:8" x14ac:dyDescent="0.25">
      <c r="A77" s="1" t="s">
        <v>27</v>
      </c>
      <c r="B77" s="117" t="s">
        <v>94</v>
      </c>
      <c r="C77" s="129">
        <v>0</v>
      </c>
      <c r="D77" s="138">
        <f>(D13/220*C77)*2200</f>
        <v>0</v>
      </c>
    </row>
    <row r="78" spans="1:8" ht="15.75" customHeight="1" x14ac:dyDescent="0.25">
      <c r="A78" s="167" t="s">
        <v>36</v>
      </c>
      <c r="B78" s="168"/>
      <c r="C78" s="130">
        <f>SUM(C77)</f>
        <v>0</v>
      </c>
      <c r="D78" s="139">
        <f>SUM(D77:D77)</f>
        <v>0</v>
      </c>
    </row>
    <row r="79" spans="1:8" ht="15.75" x14ac:dyDescent="0.25">
      <c r="A79" s="157"/>
      <c r="B79" s="157"/>
      <c r="C79" s="157"/>
      <c r="D79" s="157"/>
    </row>
    <row r="80" spans="1:8" ht="15" customHeight="1" x14ac:dyDescent="0.25">
      <c r="A80" s="169" t="s">
        <v>95</v>
      </c>
      <c r="B80" s="169"/>
      <c r="C80" s="169"/>
      <c r="D80" s="169"/>
    </row>
    <row r="81" spans="1:5" x14ac:dyDescent="0.25">
      <c r="A81" s="121">
        <v>4</v>
      </c>
      <c r="B81" s="170" t="s">
        <v>96</v>
      </c>
      <c r="C81" s="162"/>
      <c r="D81" s="121" t="s">
        <v>26</v>
      </c>
    </row>
    <row r="82" spans="1:5" x14ac:dyDescent="0.25">
      <c r="A82" s="1" t="s">
        <v>97</v>
      </c>
      <c r="B82" s="153" t="s">
        <v>84</v>
      </c>
      <c r="C82" s="153"/>
      <c r="D82" s="138">
        <f>D73</f>
        <v>398.72496674800004</v>
      </c>
    </row>
    <row r="83" spans="1:5" x14ac:dyDescent="0.25">
      <c r="A83" s="1" t="s">
        <v>98</v>
      </c>
      <c r="B83" s="153" t="s">
        <v>93</v>
      </c>
      <c r="C83" s="153"/>
      <c r="D83" s="138">
        <f>D78</f>
        <v>0</v>
      </c>
    </row>
    <row r="84" spans="1:5" ht="15.75" customHeight="1" x14ac:dyDescent="0.25">
      <c r="A84" s="154" t="s">
        <v>36</v>
      </c>
      <c r="B84" s="154"/>
      <c r="C84" s="154"/>
      <c r="D84" s="111">
        <f>SUM(D82:D83)</f>
        <v>398.72496674800004</v>
      </c>
    </row>
    <row r="85" spans="1:5" x14ac:dyDescent="0.25">
      <c r="A85" s="166"/>
      <c r="B85" s="166"/>
      <c r="C85" s="166"/>
      <c r="D85" s="166"/>
    </row>
    <row r="86" spans="1:5" ht="18.75" customHeight="1" x14ac:dyDescent="0.25">
      <c r="A86" s="159" t="s">
        <v>99</v>
      </c>
      <c r="B86" s="159"/>
      <c r="C86" s="159"/>
      <c r="D86" s="159"/>
    </row>
    <row r="87" spans="1:5" x14ac:dyDescent="0.25">
      <c r="A87" s="112">
        <v>5</v>
      </c>
      <c r="B87" s="164" t="s">
        <v>100</v>
      </c>
      <c r="C87" s="165"/>
      <c r="D87" s="147" t="s">
        <v>26</v>
      </c>
    </row>
    <row r="88" spans="1:5" x14ac:dyDescent="0.25">
      <c r="A88" s="1" t="s">
        <v>27</v>
      </c>
      <c r="B88" s="153" t="s">
        <v>264</v>
      </c>
      <c r="C88" s="153"/>
      <c r="D88" s="148">
        <f>Uniforme!G28</f>
        <v>234.29083333333335</v>
      </c>
    </row>
    <row r="89" spans="1:5" x14ac:dyDescent="0.25">
      <c r="A89" s="1" t="s">
        <v>30</v>
      </c>
      <c r="B89" s="153" t="s">
        <v>101</v>
      </c>
      <c r="C89" s="153"/>
      <c r="D89" s="125">
        <v>0</v>
      </c>
    </row>
    <row r="90" spans="1:5" x14ac:dyDescent="0.25">
      <c r="A90" s="1" t="s">
        <v>52</v>
      </c>
      <c r="B90" s="153" t="s">
        <v>102</v>
      </c>
      <c r="C90" s="153"/>
      <c r="D90" s="138">
        <v>0</v>
      </c>
    </row>
    <row r="91" spans="1:5" ht="15.75" customHeight="1" x14ac:dyDescent="0.25">
      <c r="A91" s="154" t="s">
        <v>36</v>
      </c>
      <c r="B91" s="154"/>
      <c r="C91" s="154"/>
      <c r="D91" s="111">
        <f>SUM(D88:D90)</f>
        <v>234.29083333333335</v>
      </c>
    </row>
    <row r="92" spans="1:5" ht="15.75" customHeight="1" x14ac:dyDescent="0.25">
      <c r="A92" s="154" t="s">
        <v>207</v>
      </c>
      <c r="B92" s="162"/>
      <c r="C92" s="149">
        <f>C21+C33+C61+C73+C78</f>
        <v>0.72208614444444441</v>
      </c>
      <c r="D92" s="111">
        <f>D21+D33+D61+D73+D78</f>
        <v>1980.2322716063334</v>
      </c>
    </row>
    <row r="93" spans="1:5" ht="15.75" customHeight="1" x14ac:dyDescent="0.25">
      <c r="A93" s="154" t="s">
        <v>103</v>
      </c>
      <c r="B93" s="162"/>
      <c r="C93" s="162"/>
      <c r="D93" s="111">
        <f>D13+D44+D91</f>
        <v>4308.330633333333</v>
      </c>
      <c r="E93" s="109"/>
    </row>
    <row r="94" spans="1:5" ht="15.75" x14ac:dyDescent="0.25">
      <c r="A94" s="157"/>
      <c r="B94" s="157"/>
      <c r="C94" s="157"/>
      <c r="D94" s="157"/>
      <c r="E94" s="109"/>
    </row>
    <row r="95" spans="1:5" ht="18.75" customHeight="1" x14ac:dyDescent="0.25">
      <c r="A95" s="159" t="s">
        <v>104</v>
      </c>
      <c r="B95" s="159"/>
      <c r="C95" s="159"/>
      <c r="D95" s="159"/>
    </row>
    <row r="96" spans="1:5" x14ac:dyDescent="0.25">
      <c r="A96" s="121">
        <v>6</v>
      </c>
      <c r="B96" s="122" t="s">
        <v>105</v>
      </c>
      <c r="C96" s="121" t="s">
        <v>25</v>
      </c>
      <c r="D96" s="121" t="s">
        <v>26</v>
      </c>
    </row>
    <row r="97" spans="1:7" x14ac:dyDescent="0.25">
      <c r="A97" s="1" t="s">
        <v>27</v>
      </c>
      <c r="B97" s="117" t="s">
        <v>106</v>
      </c>
      <c r="C97" s="129">
        <v>0.05</v>
      </c>
      <c r="D97" s="138">
        <f>(D92+D93)*C97</f>
        <v>314.42814524698338</v>
      </c>
    </row>
    <row r="98" spans="1:7" x14ac:dyDescent="0.25">
      <c r="A98" s="1" t="s">
        <v>30</v>
      </c>
      <c r="B98" s="117" t="s">
        <v>107</v>
      </c>
      <c r="C98" s="129">
        <v>0.05</v>
      </c>
      <c r="D98" s="138">
        <f>(D92+D93+D97)*C98</f>
        <v>330.14955250933252</v>
      </c>
    </row>
    <row r="99" spans="1:7" ht="15" customHeight="1" x14ac:dyDescent="0.25">
      <c r="A99" s="155" t="s">
        <v>108</v>
      </c>
      <c r="B99" s="163"/>
      <c r="C99" s="150">
        <f>SUM(C97:C98)</f>
        <v>0.1</v>
      </c>
      <c r="D99" s="151">
        <f>SUM(D97:D98)</f>
        <v>644.57769775631596</v>
      </c>
    </row>
    <row r="100" spans="1:7" ht="15" customHeight="1" x14ac:dyDescent="0.25">
      <c r="A100" s="155" t="s">
        <v>109</v>
      </c>
      <c r="B100" s="156"/>
      <c r="C100" s="156"/>
      <c r="D100" s="151">
        <f>D92+D93+D99</f>
        <v>6933.140602695983</v>
      </c>
    </row>
    <row r="101" spans="1:7" x14ac:dyDescent="0.25">
      <c r="A101" s="1" t="s">
        <v>32</v>
      </c>
      <c r="B101" s="117" t="s">
        <v>110</v>
      </c>
      <c r="C101" s="129">
        <f>C102+C103+C104+C105</f>
        <v>8.6499999999999994E-2</v>
      </c>
      <c r="D101" s="138">
        <f>D102+D103+D104</f>
        <v>656.50428257602903</v>
      </c>
    </row>
    <row r="102" spans="1:7" ht="30" x14ac:dyDescent="0.25">
      <c r="A102" s="1" t="s">
        <v>111</v>
      </c>
      <c r="B102" s="117" t="s">
        <v>112</v>
      </c>
      <c r="C102" s="129">
        <v>6.4999999999999997E-3</v>
      </c>
      <c r="D102" s="138">
        <f>D106*C102</f>
        <v>49.332691754268076</v>
      </c>
    </row>
    <row r="103" spans="1:7" ht="30" x14ac:dyDescent="0.25">
      <c r="A103" s="1" t="s">
        <v>113</v>
      </c>
      <c r="B103" s="117" t="s">
        <v>114</v>
      </c>
      <c r="C103" s="129">
        <v>0.03</v>
      </c>
      <c r="D103" s="138">
        <f>D106*C103</f>
        <v>227.68934655816037</v>
      </c>
    </row>
    <row r="104" spans="1:7" ht="30" x14ac:dyDescent="0.25">
      <c r="A104" s="1" t="s">
        <v>115</v>
      </c>
      <c r="B104" s="117" t="s">
        <v>116</v>
      </c>
      <c r="C104" s="129">
        <v>0.05</v>
      </c>
      <c r="D104" s="138">
        <f>D106*C104</f>
        <v>379.48224426360065</v>
      </c>
    </row>
    <row r="105" spans="1:7" ht="30" x14ac:dyDescent="0.25">
      <c r="A105" s="1" t="s">
        <v>117</v>
      </c>
      <c r="B105" s="117" t="s">
        <v>118</v>
      </c>
      <c r="C105" s="124">
        <v>0</v>
      </c>
      <c r="D105" s="138">
        <f>D106*C105</f>
        <v>0</v>
      </c>
    </row>
    <row r="106" spans="1:7" ht="15.75" customHeight="1" x14ac:dyDescent="0.25">
      <c r="A106" s="154" t="s">
        <v>119</v>
      </c>
      <c r="B106" s="154"/>
      <c r="C106" s="154"/>
      <c r="D106" s="139">
        <f>D100/(1-C101)</f>
        <v>7589.6448852720123</v>
      </c>
      <c r="E106" s="106"/>
    </row>
    <row r="107" spans="1:7" ht="15.75" x14ac:dyDescent="0.25">
      <c r="A107" s="157"/>
      <c r="B107" s="157"/>
      <c r="C107" s="157"/>
      <c r="D107" s="157"/>
    </row>
    <row r="108" spans="1:7" ht="18.75" customHeight="1" x14ac:dyDescent="0.25">
      <c r="A108" s="159" t="s">
        <v>120</v>
      </c>
      <c r="B108" s="159"/>
      <c r="C108" s="159"/>
      <c r="D108" s="159"/>
    </row>
    <row r="109" spans="1:7" x14ac:dyDescent="0.25">
      <c r="A109" s="121"/>
      <c r="B109" s="160" t="s">
        <v>121</v>
      </c>
      <c r="C109" s="161"/>
      <c r="D109" s="131" t="s">
        <v>26</v>
      </c>
    </row>
    <row r="110" spans="1:7" x14ac:dyDescent="0.25">
      <c r="A110" s="1" t="s">
        <v>27</v>
      </c>
      <c r="B110" s="153" t="s">
        <v>122</v>
      </c>
      <c r="C110" s="153"/>
      <c r="D110" s="138">
        <f>D13</f>
        <v>2749.17</v>
      </c>
      <c r="F110" s="102"/>
      <c r="G110" s="102"/>
    </row>
    <row r="111" spans="1:7" x14ac:dyDescent="0.25">
      <c r="A111" s="1" t="s">
        <v>49</v>
      </c>
      <c r="B111" s="153" t="s">
        <v>123</v>
      </c>
      <c r="C111" s="153"/>
      <c r="D111" s="138">
        <f>D51</f>
        <v>2754.4097999999999</v>
      </c>
    </row>
    <row r="112" spans="1:7" x14ac:dyDescent="0.25">
      <c r="A112" s="1" t="s">
        <v>32</v>
      </c>
      <c r="B112" s="153" t="s">
        <v>124</v>
      </c>
      <c r="C112" s="153"/>
      <c r="D112" s="138">
        <f>D61</f>
        <v>151.96730485833334</v>
      </c>
    </row>
    <row r="113" spans="1:4" x14ac:dyDescent="0.25">
      <c r="A113" s="1" t="s">
        <v>52</v>
      </c>
      <c r="B113" s="153" t="s">
        <v>125</v>
      </c>
      <c r="C113" s="153"/>
      <c r="D113" s="138">
        <f>D84</f>
        <v>398.72496674800004</v>
      </c>
    </row>
    <row r="114" spans="1:4" x14ac:dyDescent="0.25">
      <c r="A114" s="1" t="s">
        <v>54</v>
      </c>
      <c r="B114" s="153" t="s">
        <v>126</v>
      </c>
      <c r="C114" s="153"/>
      <c r="D114" s="138">
        <f>D91</f>
        <v>234.29083333333335</v>
      </c>
    </row>
    <row r="115" spans="1:4" ht="15" customHeight="1" x14ac:dyDescent="0.25">
      <c r="A115" s="158" t="s">
        <v>127</v>
      </c>
      <c r="B115" s="158"/>
      <c r="C115" s="158"/>
      <c r="D115" s="152">
        <f>SUM(D110:D114)</f>
        <v>6288.5629049396666</v>
      </c>
    </row>
    <row r="116" spans="1:4" x14ac:dyDescent="0.25">
      <c r="A116" s="1" t="s">
        <v>56</v>
      </c>
      <c r="B116" s="153" t="s">
        <v>128</v>
      </c>
      <c r="C116" s="153"/>
      <c r="D116" s="138">
        <f>D99+D101</f>
        <v>1301.081980332345</v>
      </c>
    </row>
    <row r="117" spans="1:4" ht="15.75" customHeight="1" x14ac:dyDescent="0.25">
      <c r="A117" s="154" t="s">
        <v>129</v>
      </c>
      <c r="B117" s="154"/>
      <c r="C117" s="154"/>
      <c r="D117" s="139">
        <f>SUM(D115:D116)</f>
        <v>7589.6448852720114</v>
      </c>
    </row>
  </sheetData>
  <mergeCells count="71">
    <mergeCell ref="A23:D23"/>
    <mergeCell ref="A33:B33"/>
    <mergeCell ref="A34:D34"/>
    <mergeCell ref="A35:D35"/>
    <mergeCell ref="A37:A38"/>
    <mergeCell ref="B37:B38"/>
    <mergeCell ref="D37:D38"/>
    <mergeCell ref="A45:D45"/>
    <mergeCell ref="B50:C50"/>
    <mergeCell ref="A51:C51"/>
    <mergeCell ref="A52:D52"/>
    <mergeCell ref="B47:C47"/>
    <mergeCell ref="B48:C48"/>
    <mergeCell ref="B49:C49"/>
    <mergeCell ref="A46:D46"/>
    <mergeCell ref="A53:D53"/>
    <mergeCell ref="A22:D22"/>
    <mergeCell ref="A1:D1"/>
    <mergeCell ref="C2:D2"/>
    <mergeCell ref="C3:D3"/>
    <mergeCell ref="A5:D5"/>
    <mergeCell ref="A6:D6"/>
    <mergeCell ref="A10:A11"/>
    <mergeCell ref="B10:B11"/>
    <mergeCell ref="D10:D11"/>
    <mergeCell ref="A13:C13"/>
    <mergeCell ref="A14:D14"/>
    <mergeCell ref="A15:D15"/>
    <mergeCell ref="A16:D16"/>
    <mergeCell ref="A21:B21"/>
    <mergeCell ref="A44:C44"/>
    <mergeCell ref="A61:B61"/>
    <mergeCell ref="A62:D62"/>
    <mergeCell ref="A63:D63"/>
    <mergeCell ref="A64:D64"/>
    <mergeCell ref="B82:C82"/>
    <mergeCell ref="A74:D74"/>
    <mergeCell ref="A75:D75"/>
    <mergeCell ref="B76:C76"/>
    <mergeCell ref="A78:B78"/>
    <mergeCell ref="A79:D79"/>
    <mergeCell ref="A80:D80"/>
    <mergeCell ref="B81:C81"/>
    <mergeCell ref="A73:B73"/>
    <mergeCell ref="B83:C83"/>
    <mergeCell ref="A84:C84"/>
    <mergeCell ref="A85:D85"/>
    <mergeCell ref="A91:C91"/>
    <mergeCell ref="A92:B92"/>
    <mergeCell ref="A86:D86"/>
    <mergeCell ref="A93:C93"/>
    <mergeCell ref="A95:D95"/>
    <mergeCell ref="A99:B99"/>
    <mergeCell ref="B87:C87"/>
    <mergeCell ref="B88:C88"/>
    <mergeCell ref="B89:C89"/>
    <mergeCell ref="B90:C90"/>
    <mergeCell ref="B116:C116"/>
    <mergeCell ref="A117:C117"/>
    <mergeCell ref="A100:C100"/>
    <mergeCell ref="A106:C106"/>
    <mergeCell ref="A94:D94"/>
    <mergeCell ref="A115:C115"/>
    <mergeCell ref="A108:D108"/>
    <mergeCell ref="B109:C109"/>
    <mergeCell ref="B110:C110"/>
    <mergeCell ref="B111:C111"/>
    <mergeCell ref="B112:C112"/>
    <mergeCell ref="B113:C113"/>
    <mergeCell ref="B114:C114"/>
    <mergeCell ref="A107:D107"/>
  </mergeCells>
  <pageMargins left="0.511811024" right="0.511811024" top="0.78740157499999996" bottom="0.78740157499999996" header="0.31496062000000002" footer="0.31496062000000002"/>
  <pageSetup paperSize="9" scale="85" fitToHeight="0" orientation="portrait" horizontalDpi="4294967294" verticalDpi="4294967294" r:id="rId1"/>
  <rowBreaks count="2" manualBreakCount="2">
    <brk id="45" max="16383" man="1"/>
    <brk id="93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249977111117893"/>
  </sheetPr>
  <dimension ref="A1:G28"/>
  <sheetViews>
    <sheetView topLeftCell="A9" workbookViewId="0">
      <selection activeCell="A26" sqref="A26:E26"/>
    </sheetView>
  </sheetViews>
  <sheetFormatPr defaultColWidth="8.85546875" defaultRowHeight="15" x14ac:dyDescent="0.25"/>
  <cols>
    <col min="1" max="1" width="14.7109375" style="3" customWidth="1"/>
    <col min="2" max="2" width="95" style="3" customWidth="1"/>
    <col min="3" max="3" width="30" style="3" customWidth="1"/>
    <col min="4" max="4" width="18.42578125" style="3" customWidth="1"/>
    <col min="5" max="5" width="17" style="3" bestFit="1" customWidth="1"/>
    <col min="6" max="6" width="16.42578125" style="3" bestFit="1" customWidth="1"/>
    <col min="7" max="7" width="13.85546875" style="3" customWidth="1"/>
    <col min="8" max="8" width="10.5703125" style="3" customWidth="1"/>
    <col min="9" max="16384" width="8.85546875" style="3"/>
  </cols>
  <sheetData>
    <row r="1" spans="1:7" x14ac:dyDescent="0.25">
      <c r="A1" s="184" t="s">
        <v>0</v>
      </c>
      <c r="B1" s="185"/>
      <c r="C1" s="185"/>
      <c r="D1" s="185"/>
      <c r="E1" s="185"/>
      <c r="F1" s="185"/>
    </row>
    <row r="2" spans="1:7" x14ac:dyDescent="0.25">
      <c r="A2" s="188" t="s">
        <v>254</v>
      </c>
      <c r="B2" s="189"/>
      <c r="C2" s="189"/>
      <c r="D2" s="189"/>
      <c r="E2" s="189"/>
      <c r="F2" s="189"/>
      <c r="G2" s="189"/>
    </row>
    <row r="3" spans="1:7" ht="75" x14ac:dyDescent="0.25">
      <c r="A3" s="18" t="s">
        <v>1</v>
      </c>
      <c r="B3" s="18" t="s">
        <v>220</v>
      </c>
      <c r="C3" s="18" t="s">
        <v>221</v>
      </c>
      <c r="D3" s="18" t="s">
        <v>255</v>
      </c>
      <c r="E3" s="18" t="s">
        <v>256</v>
      </c>
      <c r="F3" s="18" t="s">
        <v>257</v>
      </c>
      <c r="G3" s="113" t="s">
        <v>263</v>
      </c>
    </row>
    <row r="4" spans="1:7" x14ac:dyDescent="0.25">
      <c r="A4" s="16">
        <v>1</v>
      </c>
      <c r="B4" s="16" t="s">
        <v>233</v>
      </c>
      <c r="C4" s="16" t="s">
        <v>222</v>
      </c>
      <c r="D4" s="16">
        <v>1</v>
      </c>
      <c r="E4" s="19">
        <v>196.63</v>
      </c>
      <c r="F4" s="20">
        <f>E4*D4</f>
        <v>196.63</v>
      </c>
      <c r="G4" s="114">
        <f>F4*2</f>
        <v>393.26</v>
      </c>
    </row>
    <row r="5" spans="1:7" x14ac:dyDescent="0.25">
      <c r="A5" s="16">
        <v>2</v>
      </c>
      <c r="B5" s="16" t="s">
        <v>234</v>
      </c>
      <c r="C5" s="16" t="s">
        <v>222</v>
      </c>
      <c r="D5" s="16">
        <v>2</v>
      </c>
      <c r="E5" s="19">
        <v>181.6</v>
      </c>
      <c r="F5" s="20">
        <f t="shared" ref="F5:F11" si="0">E5*D5</f>
        <v>363.2</v>
      </c>
      <c r="G5" s="114">
        <f t="shared" ref="G5:G14" si="1">F5*2</f>
        <v>726.4</v>
      </c>
    </row>
    <row r="6" spans="1:7" x14ac:dyDescent="0.25">
      <c r="A6" s="16">
        <v>3</v>
      </c>
      <c r="B6" s="16" t="s">
        <v>235</v>
      </c>
      <c r="C6" s="16" t="s">
        <v>222</v>
      </c>
      <c r="D6" s="16">
        <v>1</v>
      </c>
      <c r="E6" s="19">
        <v>282</v>
      </c>
      <c r="F6" s="20">
        <f t="shared" si="0"/>
        <v>282</v>
      </c>
      <c r="G6" s="114">
        <f t="shared" si="1"/>
        <v>564</v>
      </c>
    </row>
    <row r="7" spans="1:7" x14ac:dyDescent="0.25">
      <c r="A7" s="16">
        <v>4</v>
      </c>
      <c r="B7" s="16" t="s">
        <v>236</v>
      </c>
      <c r="C7" s="16" t="s">
        <v>222</v>
      </c>
      <c r="D7" s="16">
        <v>2</v>
      </c>
      <c r="E7" s="19">
        <v>12.88</v>
      </c>
      <c r="F7" s="20">
        <f t="shared" si="0"/>
        <v>25.76</v>
      </c>
      <c r="G7" s="114">
        <f t="shared" si="1"/>
        <v>51.52</v>
      </c>
    </row>
    <row r="8" spans="1:7" x14ac:dyDescent="0.25">
      <c r="A8" s="16">
        <v>5</v>
      </c>
      <c r="B8" s="16" t="s">
        <v>244</v>
      </c>
      <c r="C8" s="16" t="s">
        <v>222</v>
      </c>
      <c r="D8" s="16">
        <v>1</v>
      </c>
      <c r="E8" s="19">
        <v>166.07</v>
      </c>
      <c r="F8" s="20">
        <f t="shared" si="0"/>
        <v>166.07</v>
      </c>
      <c r="G8" s="114">
        <f t="shared" si="1"/>
        <v>332.14</v>
      </c>
    </row>
    <row r="9" spans="1:7" x14ac:dyDescent="0.25">
      <c r="A9" s="16">
        <v>6</v>
      </c>
      <c r="B9" s="16" t="s">
        <v>245</v>
      </c>
      <c r="C9" s="16" t="s">
        <v>222</v>
      </c>
      <c r="D9" s="16">
        <v>1</v>
      </c>
      <c r="E9" s="19">
        <v>11.99</v>
      </c>
      <c r="F9" s="20">
        <f t="shared" si="0"/>
        <v>11.99</v>
      </c>
      <c r="G9" s="114">
        <f t="shared" si="1"/>
        <v>23.98</v>
      </c>
    </row>
    <row r="10" spans="1:7" x14ac:dyDescent="0.25">
      <c r="A10" s="16">
        <v>7</v>
      </c>
      <c r="B10" s="16" t="s">
        <v>237</v>
      </c>
      <c r="C10" s="16" t="s">
        <v>222</v>
      </c>
      <c r="D10" s="16">
        <v>1</v>
      </c>
      <c r="E10" s="19">
        <v>87.37</v>
      </c>
      <c r="F10" s="20">
        <f t="shared" si="0"/>
        <v>87.37</v>
      </c>
      <c r="G10" s="114">
        <f t="shared" si="1"/>
        <v>174.74</v>
      </c>
    </row>
    <row r="11" spans="1:7" x14ac:dyDescent="0.25">
      <c r="A11" s="16">
        <v>8</v>
      </c>
      <c r="B11" s="16" t="s">
        <v>238</v>
      </c>
      <c r="C11" s="16" t="s">
        <v>222</v>
      </c>
      <c r="D11" s="16">
        <v>1</v>
      </c>
      <c r="E11" s="19">
        <v>79</v>
      </c>
      <c r="F11" s="20">
        <f t="shared" si="0"/>
        <v>79</v>
      </c>
      <c r="G11" s="114">
        <f t="shared" si="1"/>
        <v>158</v>
      </c>
    </row>
    <row r="12" spans="1:7" x14ac:dyDescent="0.25">
      <c r="A12" s="16">
        <v>9</v>
      </c>
      <c r="B12" s="16" t="s">
        <v>239</v>
      </c>
      <c r="C12" s="16" t="s">
        <v>222</v>
      </c>
      <c r="D12" s="16">
        <v>1</v>
      </c>
      <c r="E12" s="19">
        <v>80.930000000000007</v>
      </c>
      <c r="F12" s="20">
        <f t="shared" ref="F12" si="2">E12*D12</f>
        <v>80.930000000000007</v>
      </c>
      <c r="G12" s="114">
        <f t="shared" si="1"/>
        <v>161.86000000000001</v>
      </c>
    </row>
    <row r="13" spans="1:7" x14ac:dyDescent="0.25">
      <c r="A13" s="186" t="s">
        <v>258</v>
      </c>
      <c r="B13" s="186"/>
      <c r="C13" s="186"/>
      <c r="D13" s="186"/>
      <c r="E13" s="186"/>
      <c r="F13" s="21">
        <f>SUM(F4:F12)</f>
        <v>1292.95</v>
      </c>
      <c r="G13" s="115">
        <f t="shared" si="1"/>
        <v>2585.9</v>
      </c>
    </row>
    <row r="14" spans="1:7" x14ac:dyDescent="0.25">
      <c r="A14" s="186" t="s">
        <v>259</v>
      </c>
      <c r="B14" s="186"/>
      <c r="C14" s="186"/>
      <c r="D14" s="186"/>
      <c r="E14" s="186"/>
      <c r="F14" s="116">
        <f>F13/12</f>
        <v>107.74583333333334</v>
      </c>
      <c r="G14" s="115">
        <f t="shared" si="1"/>
        <v>215.49166666666667</v>
      </c>
    </row>
    <row r="15" spans="1:7" x14ac:dyDescent="0.25">
      <c r="A15" s="190" t="s">
        <v>253</v>
      </c>
      <c r="B15" s="190"/>
      <c r="C15" s="190"/>
      <c r="D15" s="190"/>
      <c r="E15" s="190"/>
      <c r="F15" s="190"/>
      <c r="G15" s="190"/>
    </row>
    <row r="16" spans="1:7" ht="75" x14ac:dyDescent="0.25">
      <c r="A16" s="18" t="s">
        <v>1</v>
      </c>
      <c r="B16" s="18" t="s">
        <v>220</v>
      </c>
      <c r="C16" s="18" t="s">
        <v>221</v>
      </c>
      <c r="D16" s="18" t="s">
        <v>255</v>
      </c>
      <c r="E16" s="18" t="s">
        <v>256</v>
      </c>
      <c r="F16" s="18" t="s">
        <v>257</v>
      </c>
      <c r="G16" s="113" t="s">
        <v>263</v>
      </c>
    </row>
    <row r="17" spans="1:7" x14ac:dyDescent="0.25">
      <c r="A17" s="16">
        <v>1</v>
      </c>
      <c r="B17" s="16" t="s">
        <v>240</v>
      </c>
      <c r="C17" s="16" t="s">
        <v>222</v>
      </c>
      <c r="D17" s="16">
        <v>1</v>
      </c>
      <c r="E17" s="19">
        <v>144.62</v>
      </c>
      <c r="F17" s="20">
        <f>E17*D17</f>
        <v>144.62</v>
      </c>
      <c r="G17" s="114">
        <f>F17*2</f>
        <v>289.24</v>
      </c>
    </row>
    <row r="18" spans="1:7" x14ac:dyDescent="0.25">
      <c r="A18" s="16">
        <v>2</v>
      </c>
      <c r="B18" s="16" t="s">
        <v>233</v>
      </c>
      <c r="C18" s="16" t="s">
        <v>222</v>
      </c>
      <c r="D18" s="16">
        <v>1</v>
      </c>
      <c r="E18" s="19">
        <v>216.97</v>
      </c>
      <c r="F18" s="20">
        <f t="shared" ref="F18:F25" si="3">E18*D18</f>
        <v>216.97</v>
      </c>
      <c r="G18" s="114">
        <f t="shared" ref="G18:G27" si="4">F18*2</f>
        <v>433.94</v>
      </c>
    </row>
    <row r="19" spans="1:7" x14ac:dyDescent="0.25">
      <c r="A19" s="16">
        <v>3</v>
      </c>
      <c r="B19" s="16" t="s">
        <v>234</v>
      </c>
      <c r="C19" s="16" t="s">
        <v>222</v>
      </c>
      <c r="D19" s="16">
        <v>2</v>
      </c>
      <c r="E19" s="19">
        <v>211.4</v>
      </c>
      <c r="F19" s="20">
        <f t="shared" si="3"/>
        <v>422.8</v>
      </c>
      <c r="G19" s="114">
        <f t="shared" si="4"/>
        <v>845.6</v>
      </c>
    </row>
    <row r="20" spans="1:7" x14ac:dyDescent="0.25">
      <c r="A20" s="16">
        <v>4</v>
      </c>
      <c r="B20" s="16" t="s">
        <v>235</v>
      </c>
      <c r="C20" s="16" t="s">
        <v>222</v>
      </c>
      <c r="D20" s="16">
        <v>1</v>
      </c>
      <c r="E20" s="19">
        <v>305.99</v>
      </c>
      <c r="F20" s="20">
        <f t="shared" si="3"/>
        <v>305.99</v>
      </c>
      <c r="G20" s="114">
        <f t="shared" si="4"/>
        <v>611.98</v>
      </c>
    </row>
    <row r="21" spans="1:7" x14ac:dyDescent="0.25">
      <c r="A21" s="16">
        <v>5</v>
      </c>
      <c r="B21" s="16" t="s">
        <v>241</v>
      </c>
      <c r="C21" s="16" t="s">
        <v>222</v>
      </c>
      <c r="D21" s="16">
        <v>1</v>
      </c>
      <c r="E21" s="19">
        <v>20.47</v>
      </c>
      <c r="F21" s="20">
        <f t="shared" si="3"/>
        <v>20.47</v>
      </c>
      <c r="G21" s="114">
        <f t="shared" si="4"/>
        <v>40.94</v>
      </c>
    </row>
    <row r="22" spans="1:7" x14ac:dyDescent="0.25">
      <c r="A22" s="16">
        <v>6</v>
      </c>
      <c r="B22" s="16" t="s">
        <v>245</v>
      </c>
      <c r="C22" s="16" t="s">
        <v>222</v>
      </c>
      <c r="D22" s="16">
        <v>1</v>
      </c>
      <c r="E22" s="19">
        <v>11.99</v>
      </c>
      <c r="F22" s="20">
        <f t="shared" si="3"/>
        <v>11.99</v>
      </c>
      <c r="G22" s="114">
        <f t="shared" si="4"/>
        <v>23.98</v>
      </c>
    </row>
    <row r="23" spans="1:7" x14ac:dyDescent="0.25">
      <c r="A23" s="16">
        <v>7</v>
      </c>
      <c r="B23" s="16" t="s">
        <v>242</v>
      </c>
      <c r="C23" s="16" t="s">
        <v>222</v>
      </c>
      <c r="D23" s="16">
        <v>1</v>
      </c>
      <c r="E23" s="19">
        <v>63.97</v>
      </c>
      <c r="F23" s="20">
        <f t="shared" si="3"/>
        <v>63.97</v>
      </c>
      <c r="G23" s="114">
        <f t="shared" si="4"/>
        <v>127.94</v>
      </c>
    </row>
    <row r="24" spans="1:7" x14ac:dyDescent="0.25">
      <c r="A24" s="16">
        <v>8</v>
      </c>
      <c r="B24" s="16" t="s">
        <v>243</v>
      </c>
      <c r="C24" s="16" t="s">
        <v>222</v>
      </c>
      <c r="D24" s="16">
        <v>1</v>
      </c>
      <c r="E24" s="19">
        <v>243.73</v>
      </c>
      <c r="F24" s="20">
        <f t="shared" si="3"/>
        <v>243.73</v>
      </c>
      <c r="G24" s="114">
        <f t="shared" si="4"/>
        <v>487.46</v>
      </c>
    </row>
    <row r="25" spans="1:7" x14ac:dyDescent="0.25">
      <c r="A25" s="16">
        <v>9</v>
      </c>
      <c r="B25" s="16" t="s">
        <v>239</v>
      </c>
      <c r="C25" s="16" t="s">
        <v>222</v>
      </c>
      <c r="D25" s="16">
        <v>1</v>
      </c>
      <c r="E25" s="19">
        <v>88</v>
      </c>
      <c r="F25" s="20">
        <f t="shared" si="3"/>
        <v>88</v>
      </c>
      <c r="G25" s="114">
        <f t="shared" si="4"/>
        <v>176</v>
      </c>
    </row>
    <row r="26" spans="1:7" x14ac:dyDescent="0.25">
      <c r="A26" s="186" t="s">
        <v>260</v>
      </c>
      <c r="B26" s="186"/>
      <c r="C26" s="186"/>
      <c r="D26" s="186"/>
      <c r="E26" s="186"/>
      <c r="F26" s="21">
        <f>SUM(F17:F25)</f>
        <v>1518.5400000000002</v>
      </c>
      <c r="G26" s="115">
        <f t="shared" si="4"/>
        <v>3037.0800000000004</v>
      </c>
    </row>
    <row r="27" spans="1:7" x14ac:dyDescent="0.25">
      <c r="A27" s="186" t="s">
        <v>261</v>
      </c>
      <c r="B27" s="186"/>
      <c r="C27" s="186"/>
      <c r="D27" s="186"/>
      <c r="E27" s="186"/>
      <c r="F27" s="116">
        <f>F26/12</f>
        <v>126.54500000000002</v>
      </c>
      <c r="G27" s="115">
        <f t="shared" si="4"/>
        <v>253.09000000000003</v>
      </c>
    </row>
    <row r="28" spans="1:7" x14ac:dyDescent="0.25">
      <c r="A28" s="187" t="s">
        <v>262</v>
      </c>
      <c r="B28" s="187"/>
      <c r="C28" s="187"/>
      <c r="D28" s="187"/>
      <c r="E28" s="187"/>
      <c r="F28" s="100">
        <f>(F14+F27)/2</f>
        <v>117.14541666666668</v>
      </c>
      <c r="G28" s="100">
        <f>F28*2</f>
        <v>234.29083333333335</v>
      </c>
    </row>
  </sheetData>
  <mergeCells count="8">
    <mergeCell ref="A1:F1"/>
    <mergeCell ref="A26:E26"/>
    <mergeCell ref="A27:E27"/>
    <mergeCell ref="A28:E28"/>
    <mergeCell ref="A13:E13"/>
    <mergeCell ref="A14:E14"/>
    <mergeCell ref="A2:G2"/>
    <mergeCell ref="A15:G15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249977111117893"/>
  </sheetPr>
  <dimension ref="A1:G5"/>
  <sheetViews>
    <sheetView workbookViewId="0">
      <selection activeCell="G5" sqref="A1:G5"/>
    </sheetView>
  </sheetViews>
  <sheetFormatPr defaultColWidth="8.85546875" defaultRowHeight="15" x14ac:dyDescent="0.25"/>
  <cols>
    <col min="1" max="1" width="36.85546875" style="9" customWidth="1"/>
    <col min="2" max="6" width="11" style="9" customWidth="1"/>
    <col min="7" max="7" width="12.140625" style="9" bestFit="1" customWidth="1"/>
    <col min="8" max="16384" width="8.85546875" style="9"/>
  </cols>
  <sheetData>
    <row r="1" spans="1:7" x14ac:dyDescent="0.25">
      <c r="A1" s="195" t="s">
        <v>2</v>
      </c>
      <c r="B1" s="196"/>
      <c r="C1" s="196"/>
      <c r="D1" s="196"/>
      <c r="E1" s="196"/>
      <c r="F1" s="196"/>
      <c r="G1" s="197"/>
    </row>
    <row r="2" spans="1:7" x14ac:dyDescent="0.25">
      <c r="A2" s="8" t="s">
        <v>3</v>
      </c>
      <c r="B2" s="191">
        <f>Recepcionista!D13</f>
        <v>2749.17</v>
      </c>
      <c r="C2" s="192"/>
      <c r="D2" s="192"/>
      <c r="E2" s="192"/>
      <c r="F2" s="192"/>
      <c r="G2" s="193"/>
    </row>
    <row r="3" spans="1:7" ht="45" x14ac:dyDescent="0.25">
      <c r="A3" s="19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6" t="s">
        <v>10</v>
      </c>
    </row>
    <row r="4" spans="1:7" x14ac:dyDescent="0.25">
      <c r="A4" s="194"/>
      <c r="B4" s="7">
        <v>8.3299999999999999E-2</v>
      </c>
      <c r="C4" s="7">
        <v>0.1111</v>
      </c>
      <c r="D4" s="7">
        <v>0.04</v>
      </c>
      <c r="E4" s="7">
        <v>3.1699999999999999E-2</v>
      </c>
      <c r="F4" s="7">
        <v>4.2200000000000001E-2</v>
      </c>
      <c r="G4" s="7">
        <f>SUM(B4:F4)</f>
        <v>0.30830000000000002</v>
      </c>
    </row>
    <row r="5" spans="1:7" x14ac:dyDescent="0.25">
      <c r="A5" s="4" t="s">
        <v>11</v>
      </c>
      <c r="B5" s="10">
        <f>$B$2*B4</f>
        <v>229.00586100000001</v>
      </c>
      <c r="C5" s="10">
        <f t="shared" ref="C5:F5" si="0">$B$2*C4</f>
        <v>305.43278700000002</v>
      </c>
      <c r="D5" s="10">
        <f t="shared" si="0"/>
        <v>109.96680000000001</v>
      </c>
      <c r="E5" s="10">
        <f t="shared" si="0"/>
        <v>87.148689000000005</v>
      </c>
      <c r="F5" s="10">
        <f t="shared" si="0"/>
        <v>116.01497400000001</v>
      </c>
      <c r="G5" s="10">
        <f>$B$2*G4</f>
        <v>847.56911100000002</v>
      </c>
    </row>
  </sheetData>
  <mergeCells count="3">
    <mergeCell ref="B2:G2"/>
    <mergeCell ref="A3:A4"/>
    <mergeCell ref="A1:G1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-0.249977111117893"/>
    <pageSetUpPr fitToPage="1"/>
  </sheetPr>
  <dimension ref="A1:W108"/>
  <sheetViews>
    <sheetView zoomScale="86" zoomScaleNormal="86" workbookViewId="0">
      <selection activeCell="W111" sqref="W111"/>
    </sheetView>
  </sheetViews>
  <sheetFormatPr defaultColWidth="4.140625" defaultRowHeight="15" x14ac:dyDescent="0.25"/>
  <cols>
    <col min="1" max="1" width="4.140625" style="33" customWidth="1"/>
    <col min="2" max="2" width="9.140625" style="30" customWidth="1"/>
    <col min="3" max="3" width="10.85546875" style="33" customWidth="1"/>
    <col min="4" max="4" width="4.140625" style="31"/>
    <col min="5" max="5" width="27" style="31" customWidth="1"/>
    <col min="6" max="6" width="2.85546875" style="33" customWidth="1"/>
    <col min="7" max="7" width="5.5703125" style="33" customWidth="1"/>
    <col min="8" max="8" width="2" style="31" bestFit="1" customWidth="1"/>
    <col min="9" max="9" width="5" style="33" customWidth="1"/>
    <col min="10" max="10" width="3.28515625" style="33" customWidth="1"/>
    <col min="11" max="11" width="4.140625" style="33" customWidth="1"/>
    <col min="12" max="12" width="2.28515625" style="33" customWidth="1"/>
    <col min="13" max="13" width="9.140625" style="33" customWidth="1"/>
    <col min="14" max="14" width="1.5703125" style="33" bestFit="1" customWidth="1"/>
    <col min="15" max="15" width="7.42578125" style="33" customWidth="1"/>
    <col min="16" max="16" width="1.7109375" style="33" customWidth="1"/>
    <col min="17" max="17" width="1.85546875" style="33" bestFit="1" customWidth="1"/>
    <col min="18" max="18" width="7.7109375" style="86" customWidth="1"/>
    <col min="19" max="19" width="4.140625" style="86"/>
    <col min="20" max="20" width="4.140625" style="87"/>
    <col min="21" max="22" width="4.140625" style="88"/>
    <col min="23" max="23" width="68.140625" style="32" customWidth="1"/>
    <col min="24" max="24" width="4.140625" style="33"/>
    <col min="25" max="25" width="4.7109375" style="33" customWidth="1"/>
    <col min="26" max="258" width="4.140625" style="33"/>
    <col min="259" max="259" width="6.28515625" style="33" customWidth="1"/>
    <col min="260" max="514" width="4.140625" style="33"/>
    <col min="515" max="515" width="6.28515625" style="33" customWidth="1"/>
    <col min="516" max="770" width="4.140625" style="33"/>
    <col min="771" max="771" width="6.28515625" style="33" customWidth="1"/>
    <col min="772" max="1026" width="4.140625" style="33"/>
    <col min="1027" max="1027" width="6.28515625" style="33" customWidth="1"/>
    <col min="1028" max="1282" width="4.140625" style="33"/>
    <col min="1283" max="1283" width="6.28515625" style="33" customWidth="1"/>
    <col min="1284" max="1538" width="4.140625" style="33"/>
    <col min="1539" max="1539" width="6.28515625" style="33" customWidth="1"/>
    <col min="1540" max="1794" width="4.140625" style="33"/>
    <col min="1795" max="1795" width="6.28515625" style="33" customWidth="1"/>
    <col min="1796" max="2050" width="4.140625" style="33"/>
    <col min="2051" max="2051" width="6.28515625" style="33" customWidth="1"/>
    <col min="2052" max="2306" width="4.140625" style="33"/>
    <col min="2307" max="2307" width="6.28515625" style="33" customWidth="1"/>
    <col min="2308" max="2562" width="4.140625" style="33"/>
    <col min="2563" max="2563" width="6.28515625" style="33" customWidth="1"/>
    <col min="2564" max="2818" width="4.140625" style="33"/>
    <col min="2819" max="2819" width="6.28515625" style="33" customWidth="1"/>
    <col min="2820" max="3074" width="4.140625" style="33"/>
    <col min="3075" max="3075" width="6.28515625" style="33" customWidth="1"/>
    <col min="3076" max="3330" width="4.140625" style="33"/>
    <col min="3331" max="3331" width="6.28515625" style="33" customWidth="1"/>
    <col min="3332" max="3586" width="4.140625" style="33"/>
    <col min="3587" max="3587" width="6.28515625" style="33" customWidth="1"/>
    <col min="3588" max="3842" width="4.140625" style="33"/>
    <col min="3843" max="3843" width="6.28515625" style="33" customWidth="1"/>
    <col min="3844" max="4098" width="4.140625" style="33"/>
    <col min="4099" max="4099" width="6.28515625" style="33" customWidth="1"/>
    <col min="4100" max="4354" width="4.140625" style="33"/>
    <col min="4355" max="4355" width="6.28515625" style="33" customWidth="1"/>
    <col min="4356" max="4610" width="4.140625" style="33"/>
    <col min="4611" max="4611" width="6.28515625" style="33" customWidth="1"/>
    <col min="4612" max="4866" width="4.140625" style="33"/>
    <col min="4867" max="4867" width="6.28515625" style="33" customWidth="1"/>
    <col min="4868" max="5122" width="4.140625" style="33"/>
    <col min="5123" max="5123" width="6.28515625" style="33" customWidth="1"/>
    <col min="5124" max="5378" width="4.140625" style="33"/>
    <col min="5379" max="5379" width="6.28515625" style="33" customWidth="1"/>
    <col min="5380" max="5634" width="4.140625" style="33"/>
    <col min="5635" max="5635" width="6.28515625" style="33" customWidth="1"/>
    <col min="5636" max="5890" width="4.140625" style="33"/>
    <col min="5891" max="5891" width="6.28515625" style="33" customWidth="1"/>
    <col min="5892" max="6146" width="4.140625" style="33"/>
    <col min="6147" max="6147" width="6.28515625" style="33" customWidth="1"/>
    <col min="6148" max="6402" width="4.140625" style="33"/>
    <col min="6403" max="6403" width="6.28515625" style="33" customWidth="1"/>
    <col min="6404" max="6658" width="4.140625" style="33"/>
    <col min="6659" max="6659" width="6.28515625" style="33" customWidth="1"/>
    <col min="6660" max="6914" width="4.140625" style="33"/>
    <col min="6915" max="6915" width="6.28515625" style="33" customWidth="1"/>
    <col min="6916" max="7170" width="4.140625" style="33"/>
    <col min="7171" max="7171" width="6.28515625" style="33" customWidth="1"/>
    <col min="7172" max="7426" width="4.140625" style="33"/>
    <col min="7427" max="7427" width="6.28515625" style="33" customWidth="1"/>
    <col min="7428" max="7682" width="4.140625" style="33"/>
    <col min="7683" max="7683" width="6.28515625" style="33" customWidth="1"/>
    <col min="7684" max="7938" width="4.140625" style="33"/>
    <col min="7939" max="7939" width="6.28515625" style="33" customWidth="1"/>
    <col min="7940" max="8194" width="4.140625" style="33"/>
    <col min="8195" max="8195" width="6.28515625" style="33" customWidth="1"/>
    <col min="8196" max="8450" width="4.140625" style="33"/>
    <col min="8451" max="8451" width="6.28515625" style="33" customWidth="1"/>
    <col min="8452" max="8706" width="4.140625" style="33"/>
    <col min="8707" max="8707" width="6.28515625" style="33" customWidth="1"/>
    <col min="8708" max="8962" width="4.140625" style="33"/>
    <col min="8963" max="8963" width="6.28515625" style="33" customWidth="1"/>
    <col min="8964" max="9218" width="4.140625" style="33"/>
    <col min="9219" max="9219" width="6.28515625" style="33" customWidth="1"/>
    <col min="9220" max="9474" width="4.140625" style="33"/>
    <col min="9475" max="9475" width="6.28515625" style="33" customWidth="1"/>
    <col min="9476" max="9730" width="4.140625" style="33"/>
    <col min="9731" max="9731" width="6.28515625" style="33" customWidth="1"/>
    <col min="9732" max="9986" width="4.140625" style="33"/>
    <col min="9987" max="9987" width="6.28515625" style="33" customWidth="1"/>
    <col min="9988" max="10242" width="4.140625" style="33"/>
    <col min="10243" max="10243" width="6.28515625" style="33" customWidth="1"/>
    <col min="10244" max="10498" width="4.140625" style="33"/>
    <col min="10499" max="10499" width="6.28515625" style="33" customWidth="1"/>
    <col min="10500" max="10754" width="4.140625" style="33"/>
    <col min="10755" max="10755" width="6.28515625" style="33" customWidth="1"/>
    <col min="10756" max="11010" width="4.140625" style="33"/>
    <col min="11011" max="11011" width="6.28515625" style="33" customWidth="1"/>
    <col min="11012" max="11266" width="4.140625" style="33"/>
    <col min="11267" max="11267" width="6.28515625" style="33" customWidth="1"/>
    <col min="11268" max="11522" width="4.140625" style="33"/>
    <col min="11523" max="11523" width="6.28515625" style="33" customWidth="1"/>
    <col min="11524" max="11778" width="4.140625" style="33"/>
    <col min="11779" max="11779" width="6.28515625" style="33" customWidth="1"/>
    <col min="11780" max="12034" width="4.140625" style="33"/>
    <col min="12035" max="12035" width="6.28515625" style="33" customWidth="1"/>
    <col min="12036" max="12290" width="4.140625" style="33"/>
    <col min="12291" max="12291" width="6.28515625" style="33" customWidth="1"/>
    <col min="12292" max="12546" width="4.140625" style="33"/>
    <col min="12547" max="12547" width="6.28515625" style="33" customWidth="1"/>
    <col min="12548" max="12802" width="4.140625" style="33"/>
    <col min="12803" max="12803" width="6.28515625" style="33" customWidth="1"/>
    <col min="12804" max="13058" width="4.140625" style="33"/>
    <col min="13059" max="13059" width="6.28515625" style="33" customWidth="1"/>
    <col min="13060" max="13314" width="4.140625" style="33"/>
    <col min="13315" max="13315" width="6.28515625" style="33" customWidth="1"/>
    <col min="13316" max="13570" width="4.140625" style="33"/>
    <col min="13571" max="13571" width="6.28515625" style="33" customWidth="1"/>
    <col min="13572" max="13826" width="4.140625" style="33"/>
    <col min="13827" max="13827" width="6.28515625" style="33" customWidth="1"/>
    <col min="13828" max="14082" width="4.140625" style="33"/>
    <col min="14083" max="14083" width="6.28515625" style="33" customWidth="1"/>
    <col min="14084" max="14338" width="4.140625" style="33"/>
    <col min="14339" max="14339" width="6.28515625" style="33" customWidth="1"/>
    <col min="14340" max="14594" width="4.140625" style="33"/>
    <col min="14595" max="14595" width="6.28515625" style="33" customWidth="1"/>
    <col min="14596" max="14850" width="4.140625" style="33"/>
    <col min="14851" max="14851" width="6.28515625" style="33" customWidth="1"/>
    <col min="14852" max="15106" width="4.140625" style="33"/>
    <col min="15107" max="15107" width="6.28515625" style="33" customWidth="1"/>
    <col min="15108" max="15362" width="4.140625" style="33"/>
    <col min="15363" max="15363" width="6.28515625" style="33" customWidth="1"/>
    <col min="15364" max="15618" width="4.140625" style="33"/>
    <col min="15619" max="15619" width="6.28515625" style="33" customWidth="1"/>
    <col min="15620" max="15874" width="4.140625" style="33"/>
    <col min="15875" max="15875" width="6.28515625" style="33" customWidth="1"/>
    <col min="15876" max="16130" width="4.140625" style="33"/>
    <col min="16131" max="16131" width="6.28515625" style="33" customWidth="1"/>
    <col min="16132" max="16384" width="4.140625" style="33"/>
  </cols>
  <sheetData>
    <row r="1" spans="1:23" x14ac:dyDescent="0.25">
      <c r="A1" s="202" t="s">
        <v>130</v>
      </c>
      <c r="B1" s="203"/>
      <c r="C1" s="203"/>
      <c r="D1" s="203"/>
      <c r="E1" s="203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5"/>
    </row>
    <row r="2" spans="1:23" x14ac:dyDescent="0.25">
      <c r="A2" s="206" t="s">
        <v>131</v>
      </c>
      <c r="B2" s="206"/>
      <c r="C2" s="206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8" t="s">
        <v>25</v>
      </c>
      <c r="U2" s="209"/>
      <c r="V2" s="209"/>
      <c r="W2" s="34"/>
    </row>
    <row r="3" spans="1:23" x14ac:dyDescent="0.25">
      <c r="A3" s="198" t="s">
        <v>132</v>
      </c>
      <c r="B3" s="198"/>
      <c r="C3" s="198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200">
        <v>0.2</v>
      </c>
      <c r="U3" s="201"/>
      <c r="V3" s="201"/>
      <c r="W3" s="34"/>
    </row>
    <row r="4" spans="1:23" x14ac:dyDescent="0.25">
      <c r="A4" s="198" t="s">
        <v>247</v>
      </c>
      <c r="B4" s="198"/>
      <c r="C4" s="198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200">
        <v>1.4999999999999999E-2</v>
      </c>
      <c r="U4" s="201"/>
      <c r="V4" s="201"/>
      <c r="W4" s="35"/>
    </row>
    <row r="5" spans="1:23" x14ac:dyDescent="0.25">
      <c r="A5" s="198" t="s">
        <v>248</v>
      </c>
      <c r="B5" s="198"/>
      <c r="C5" s="198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200">
        <v>0.01</v>
      </c>
      <c r="U5" s="201"/>
      <c r="V5" s="201"/>
      <c r="W5" s="35"/>
    </row>
    <row r="6" spans="1:23" x14ac:dyDescent="0.25">
      <c r="A6" s="198" t="s">
        <v>133</v>
      </c>
      <c r="B6" s="198"/>
      <c r="C6" s="198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200">
        <v>2E-3</v>
      </c>
      <c r="U6" s="201"/>
      <c r="V6" s="201"/>
      <c r="W6" s="36"/>
    </row>
    <row r="7" spans="1:23" x14ac:dyDescent="0.25">
      <c r="A7" s="198" t="s">
        <v>134</v>
      </c>
      <c r="B7" s="198"/>
      <c r="C7" s="198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200">
        <v>2.5000000000000001E-2</v>
      </c>
      <c r="U7" s="201"/>
      <c r="V7" s="201"/>
      <c r="W7" s="36"/>
    </row>
    <row r="8" spans="1:23" x14ac:dyDescent="0.25">
      <c r="A8" s="210" t="s">
        <v>135</v>
      </c>
      <c r="B8" s="210"/>
      <c r="C8" s="210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00">
        <v>0.08</v>
      </c>
      <c r="U8" s="201"/>
      <c r="V8" s="201"/>
      <c r="W8" s="36"/>
    </row>
    <row r="9" spans="1:23" ht="15" customHeight="1" x14ac:dyDescent="0.25">
      <c r="A9" s="212" t="s">
        <v>249</v>
      </c>
      <c r="B9" s="213"/>
      <c r="C9" s="213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5"/>
      <c r="T9" s="216">
        <f>D10*L10</f>
        <v>0.03</v>
      </c>
      <c r="U9" s="217"/>
      <c r="V9" s="218"/>
      <c r="W9" s="37"/>
    </row>
    <row r="10" spans="1:23" ht="15" customHeight="1" x14ac:dyDescent="0.25">
      <c r="A10" s="38"/>
      <c r="B10" s="220" t="s">
        <v>250</v>
      </c>
      <c r="C10" s="220"/>
      <c r="D10" s="221">
        <v>0.03</v>
      </c>
      <c r="E10" s="222"/>
      <c r="F10" s="223"/>
      <c r="G10" s="39"/>
      <c r="H10" s="39"/>
      <c r="I10" s="228" t="s">
        <v>136</v>
      </c>
      <c r="J10" s="228"/>
      <c r="K10" s="228"/>
      <c r="L10" s="242">
        <v>1</v>
      </c>
      <c r="M10" s="243"/>
      <c r="N10" s="244"/>
      <c r="O10" s="39"/>
      <c r="P10" s="39"/>
      <c r="Q10" s="39"/>
      <c r="R10" s="40"/>
      <c r="S10" s="41"/>
      <c r="T10" s="219"/>
      <c r="U10" s="217"/>
      <c r="V10" s="218"/>
      <c r="W10" s="36"/>
    </row>
    <row r="11" spans="1:23" x14ac:dyDescent="0.25">
      <c r="A11" s="245" t="s">
        <v>137</v>
      </c>
      <c r="B11" s="245"/>
      <c r="C11" s="245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00">
        <v>6.0000000000000001E-3</v>
      </c>
      <c r="U11" s="201"/>
      <c r="V11" s="201"/>
      <c r="W11" s="36"/>
    </row>
    <row r="12" spans="1:23" x14ac:dyDescent="0.25">
      <c r="A12" s="247" t="s">
        <v>138</v>
      </c>
      <c r="B12" s="248"/>
      <c r="C12" s="248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50"/>
      <c r="T12" s="251">
        <f>SUM(T3:T11)</f>
        <v>0.3680000000000001</v>
      </c>
      <c r="U12" s="252"/>
      <c r="V12" s="252"/>
      <c r="W12" s="42"/>
    </row>
    <row r="13" spans="1:23" x14ac:dyDescent="0.25">
      <c r="A13" s="226"/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35"/>
    </row>
    <row r="14" spans="1:23" x14ac:dyDescent="0.25">
      <c r="A14" s="253"/>
      <c r="B14" s="254"/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5"/>
      <c r="W14" s="44" t="s">
        <v>139</v>
      </c>
    </row>
    <row r="15" spans="1:23" ht="15" customHeight="1" x14ac:dyDescent="0.25">
      <c r="A15" s="224" t="s">
        <v>41</v>
      </c>
      <c r="B15" s="214"/>
      <c r="C15" s="214"/>
      <c r="D15" s="214"/>
      <c r="E15" s="214"/>
      <c r="F15" s="229" t="s">
        <v>140</v>
      </c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1"/>
      <c r="T15" s="232">
        <f>F17/N17</f>
        <v>8.3333333333333329E-2</v>
      </c>
      <c r="U15" s="232"/>
      <c r="V15" s="233"/>
      <c r="W15" s="45" t="s">
        <v>141</v>
      </c>
    </row>
    <row r="16" spans="1:23" ht="15" customHeight="1" x14ac:dyDescent="0.25">
      <c r="A16" s="225"/>
      <c r="B16" s="226"/>
      <c r="C16" s="226"/>
      <c r="D16" s="226"/>
      <c r="E16" s="226"/>
      <c r="F16" s="46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8"/>
      <c r="T16" s="234"/>
      <c r="U16" s="234"/>
      <c r="V16" s="235"/>
      <c r="W16" s="45" t="s">
        <v>142</v>
      </c>
    </row>
    <row r="17" spans="1:23" ht="15" customHeight="1" x14ac:dyDescent="0.25">
      <c r="A17" s="227"/>
      <c r="B17" s="228"/>
      <c r="C17" s="228"/>
      <c r="D17" s="228"/>
      <c r="E17" s="228"/>
      <c r="F17" s="238">
        <v>1</v>
      </c>
      <c r="G17" s="239"/>
      <c r="H17" s="240"/>
      <c r="I17" s="240"/>
      <c r="J17" s="240"/>
      <c r="K17" s="240"/>
      <c r="L17" s="228"/>
      <c r="M17" s="24" t="s">
        <v>143</v>
      </c>
      <c r="N17" s="241">
        <v>12</v>
      </c>
      <c r="O17" s="241"/>
      <c r="P17" s="241"/>
      <c r="Q17" s="241"/>
      <c r="R17" s="241"/>
      <c r="S17" s="326"/>
      <c r="T17" s="236"/>
      <c r="U17" s="236"/>
      <c r="V17" s="237"/>
      <c r="W17" s="51" t="s">
        <v>144</v>
      </c>
    </row>
    <row r="18" spans="1:23" ht="15" customHeight="1" x14ac:dyDescent="0.25">
      <c r="A18" s="224" t="s">
        <v>42</v>
      </c>
      <c r="B18" s="214"/>
      <c r="C18" s="214"/>
      <c r="D18" s="214"/>
      <c r="E18" s="214"/>
      <c r="F18" s="229" t="s">
        <v>145</v>
      </c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1"/>
      <c r="T18" s="232">
        <f>F21/I21/L21</f>
        <v>2.7777777777777776E-2</v>
      </c>
      <c r="U18" s="232"/>
      <c r="V18" s="233"/>
      <c r="W18" s="52" t="s">
        <v>146</v>
      </c>
    </row>
    <row r="19" spans="1:23" ht="15" customHeight="1" x14ac:dyDescent="0.25">
      <c r="A19" s="225"/>
      <c r="B19" s="226"/>
      <c r="C19" s="226"/>
      <c r="D19" s="226"/>
      <c r="E19" s="226"/>
      <c r="F19" s="46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8"/>
      <c r="T19" s="234"/>
      <c r="U19" s="234"/>
      <c r="V19" s="235"/>
      <c r="W19" s="45" t="s">
        <v>147</v>
      </c>
    </row>
    <row r="20" spans="1:23" ht="15" customHeight="1" x14ac:dyDescent="0.25">
      <c r="A20" s="225"/>
      <c r="B20" s="226"/>
      <c r="C20" s="226"/>
      <c r="D20" s="226"/>
      <c r="E20" s="226"/>
      <c r="F20" s="46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8"/>
      <c r="T20" s="234"/>
      <c r="U20" s="234"/>
      <c r="V20" s="235"/>
      <c r="W20" s="45" t="s">
        <v>148</v>
      </c>
    </row>
    <row r="21" spans="1:23" ht="15" customHeight="1" x14ac:dyDescent="0.25">
      <c r="A21" s="227"/>
      <c r="B21" s="228"/>
      <c r="C21" s="228"/>
      <c r="D21" s="228"/>
      <c r="E21" s="228"/>
      <c r="F21" s="238">
        <v>1</v>
      </c>
      <c r="G21" s="239"/>
      <c r="H21" s="50" t="s">
        <v>149</v>
      </c>
      <c r="I21" s="240">
        <v>3</v>
      </c>
      <c r="J21" s="240"/>
      <c r="K21" s="24" t="s">
        <v>143</v>
      </c>
      <c r="L21" s="241">
        <v>12</v>
      </c>
      <c r="M21" s="241"/>
      <c r="N21" s="53"/>
      <c r="O21" s="53"/>
      <c r="P21" s="53"/>
      <c r="Q21" s="53"/>
      <c r="R21" s="53"/>
      <c r="S21" s="54"/>
      <c r="T21" s="236"/>
      <c r="U21" s="236"/>
      <c r="V21" s="237"/>
      <c r="W21" s="51" t="s">
        <v>144</v>
      </c>
    </row>
    <row r="22" spans="1:23" x14ac:dyDescent="0.25">
      <c r="A22" s="341" t="s">
        <v>150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342">
        <f>SUM(T15:V21)</f>
        <v>0.1111111111111111</v>
      </c>
      <c r="U22" s="201"/>
      <c r="V22" s="201"/>
      <c r="W22" s="327">
        <f>T24</f>
        <v>0.152</v>
      </c>
    </row>
    <row r="23" spans="1:23" x14ac:dyDescent="0.25">
      <c r="A23" s="224" t="s">
        <v>151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330">
        <f>T12</f>
        <v>0.3680000000000001</v>
      </c>
      <c r="P23" s="331"/>
      <c r="Q23" s="55" t="s">
        <v>152</v>
      </c>
      <c r="R23" s="332">
        <f>T22</f>
        <v>0.1111111111111111</v>
      </c>
      <c r="S23" s="333"/>
      <c r="T23" s="334">
        <f>O23*R23</f>
        <v>4.0888888888888898E-2</v>
      </c>
      <c r="U23" s="335"/>
      <c r="V23" s="336"/>
      <c r="W23" s="328"/>
    </row>
    <row r="24" spans="1:23" x14ac:dyDescent="0.25">
      <c r="A24" s="337"/>
      <c r="B24" s="338"/>
      <c r="C24" s="338"/>
      <c r="D24" s="338"/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9"/>
      <c r="T24" s="340">
        <f>SUM(T22:V23)</f>
        <v>0.152</v>
      </c>
      <c r="U24" s="252"/>
      <c r="V24" s="252"/>
      <c r="W24" s="329"/>
    </row>
    <row r="25" spans="1:23" x14ac:dyDescent="0.25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8"/>
      <c r="U25" s="59"/>
      <c r="V25" s="60"/>
    </row>
    <row r="26" spans="1:23" x14ac:dyDescent="0.25">
      <c r="A26" s="253" t="s">
        <v>153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5"/>
      <c r="W26" s="44" t="s">
        <v>154</v>
      </c>
    </row>
    <row r="27" spans="1:23" x14ac:dyDescent="0.25">
      <c r="A27" s="229" t="str">
        <f>CONCATENATE("O salário referente ao período de licença maternidade é coberto pela previdência social, inclusive a gratificação natalina respectiva (13º salário – art. 86 da IN RFB Nº 971/09)",", de modo que o salário do substituto e o décimo terceiro respectivo já consta na planilha de custos.", " Contudo, a previdência social não cobre a remuneração de férias proporcional ao período da licença. Estima-se que ",I30*100,"% das empregadas se afastam por licença maternidade por ano.")</f>
        <v>O salário referente ao período de licença maternidade é coberto pela previdência social, inclusive a gratificação natalina respectiva (13º salário – art. 86 da IN RFB Nº 971/09), de modo que o salário do substituto e o décimo terceiro respectivo já consta na planilha de custos. Contudo, a previdência social não cobre a remuneração de férias proporcional ao período da licença. Estima-se que 36500% das empregadas se afastam por licença maternidade por ano.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1"/>
      <c r="W27" s="61" t="s">
        <v>155</v>
      </c>
    </row>
    <row r="28" spans="1:23" ht="15" customHeight="1" x14ac:dyDescent="0.25">
      <c r="A28" s="229" t="s">
        <v>156</v>
      </c>
      <c r="B28" s="267"/>
      <c r="C28" s="267"/>
      <c r="D28" s="267"/>
      <c r="E28" s="268"/>
      <c r="F28" s="274" t="s">
        <v>157</v>
      </c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6"/>
      <c r="T28" s="277">
        <f>((F30/I30*L30)*O30*R30)/100</f>
        <v>5.6703287671232873E-3</v>
      </c>
      <c r="U28" s="277"/>
      <c r="V28" s="278"/>
      <c r="W28" s="62" t="s">
        <v>158</v>
      </c>
    </row>
    <row r="29" spans="1:23" ht="15" customHeight="1" x14ac:dyDescent="0.25">
      <c r="A29" s="262"/>
      <c r="B29" s="269"/>
      <c r="C29" s="269"/>
      <c r="D29" s="269"/>
      <c r="E29" s="270"/>
      <c r="F29" s="64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6"/>
      <c r="T29" s="279"/>
      <c r="U29" s="279"/>
      <c r="V29" s="280"/>
      <c r="W29" s="45" t="s">
        <v>159</v>
      </c>
    </row>
    <row r="30" spans="1:23" ht="30" x14ac:dyDescent="0.25">
      <c r="A30" s="271"/>
      <c r="B30" s="272"/>
      <c r="C30" s="272"/>
      <c r="D30" s="272"/>
      <c r="E30" s="273"/>
      <c r="F30" s="283">
        <v>120</v>
      </c>
      <c r="G30" s="284"/>
      <c r="H30" s="50" t="s">
        <v>152</v>
      </c>
      <c r="I30" s="285">
        <v>365</v>
      </c>
      <c r="J30" s="285"/>
      <c r="K30" s="39" t="s">
        <v>152</v>
      </c>
      <c r="L30" s="256">
        <v>0.36309999999999998</v>
      </c>
      <c r="M30" s="256"/>
      <c r="N30" s="50"/>
      <c r="O30" s="256">
        <v>4.7500000000000001E-2</v>
      </c>
      <c r="P30" s="256"/>
      <c r="Q30" s="25"/>
      <c r="R30" s="68">
        <v>100</v>
      </c>
      <c r="S30" s="26"/>
      <c r="T30" s="281"/>
      <c r="U30" s="281"/>
      <c r="V30" s="282"/>
      <c r="W30" s="69" t="s">
        <v>160</v>
      </c>
    </row>
    <row r="31" spans="1:23" x14ac:dyDescent="0.25">
      <c r="A31" s="257" t="s">
        <v>161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9">
        <v>0.56999999999999995</v>
      </c>
      <c r="U31" s="260"/>
      <c r="V31" s="260"/>
      <c r="W31" s="70">
        <f>T31</f>
        <v>0.56999999999999995</v>
      </c>
    </row>
    <row r="32" spans="1:23" x14ac:dyDescent="0.25"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8"/>
      <c r="U32" s="59"/>
      <c r="V32" s="60"/>
    </row>
    <row r="33" spans="1:23" x14ac:dyDescent="0.25">
      <c r="A33" s="253" t="s">
        <v>162</v>
      </c>
      <c r="B33" s="254"/>
      <c r="C33" s="254"/>
      <c r="D33" s="254"/>
      <c r="E33" s="254"/>
      <c r="F33" s="261"/>
      <c r="G33" s="261"/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54"/>
      <c r="U33" s="254"/>
      <c r="V33" s="254"/>
      <c r="W33" s="44" t="s">
        <v>211</v>
      </c>
    </row>
    <row r="34" spans="1:23" ht="15" customHeight="1" x14ac:dyDescent="0.25">
      <c r="A34" s="225" t="s">
        <v>78</v>
      </c>
      <c r="B34" s="226"/>
      <c r="C34" s="226"/>
      <c r="D34" s="226"/>
      <c r="E34" s="226"/>
      <c r="F34" s="229" t="str">
        <f>CONCATENATE("Trata-se de valor devido ao empregado no caso de o empregador rescindir o contrato sem justo motivo e sem lhe conceder aviso prévio, conforme disposto no § 1º do art. 487 da CLT.", "Estima-se que ",K39*100, " % do pessoal ao ano é demitido pelo empregador antes do término do contrato de trabalho.", "Fundamento Legal: Artigos 7º, XXI, da CF/88 e Arts. 477, 487 e 491 da CLT.")</f>
        <v>Trata-se de valor devido ao empregado no caso de o empregador rescindir o contrato sem justo motivo e sem lhe conceder aviso prévio, conforme disposto no § 1º do art. 487 da CLT.Estima-se que 3,5 % do pessoal ao ano é demitido pelo empregador antes do término do contrato de trabalho.Fundamento Legal: Artigos 7º, XXI, da CF/88 e Arts. 477, 487 e 491 da CLT.</v>
      </c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1"/>
      <c r="T34" s="232">
        <f>(G39/I39*K39)</f>
        <v>2.9166666666666668E-3</v>
      </c>
      <c r="U34" s="232"/>
      <c r="V34" s="232"/>
      <c r="W34" s="71" t="s">
        <v>163</v>
      </c>
    </row>
    <row r="35" spans="1:23" ht="15" customHeight="1" x14ac:dyDescent="0.25">
      <c r="A35" s="225"/>
      <c r="B35" s="226"/>
      <c r="C35" s="226"/>
      <c r="D35" s="226"/>
      <c r="E35" s="226"/>
      <c r="F35" s="262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4"/>
      <c r="T35" s="234"/>
      <c r="U35" s="234"/>
      <c r="V35" s="234"/>
      <c r="W35" s="71" t="s">
        <v>164</v>
      </c>
    </row>
    <row r="36" spans="1:23" ht="15" customHeight="1" x14ac:dyDescent="0.25">
      <c r="A36" s="225"/>
      <c r="B36" s="226"/>
      <c r="C36" s="226"/>
      <c r="D36" s="226"/>
      <c r="E36" s="226"/>
      <c r="F36" s="262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4"/>
      <c r="T36" s="234"/>
      <c r="U36" s="234"/>
      <c r="V36" s="234"/>
      <c r="W36" s="71" t="s">
        <v>212</v>
      </c>
    </row>
    <row r="37" spans="1:23" ht="15" customHeight="1" x14ac:dyDescent="0.25">
      <c r="A37" s="225"/>
      <c r="B37" s="226"/>
      <c r="C37" s="226"/>
      <c r="D37" s="226"/>
      <c r="E37" s="226"/>
      <c r="F37" s="262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4"/>
      <c r="T37" s="234"/>
      <c r="U37" s="234"/>
      <c r="V37" s="234"/>
      <c r="W37" s="45"/>
    </row>
    <row r="38" spans="1:23" ht="15" customHeight="1" x14ac:dyDescent="0.25">
      <c r="A38" s="225"/>
      <c r="B38" s="226"/>
      <c r="C38" s="226"/>
      <c r="D38" s="226"/>
      <c r="E38" s="226"/>
      <c r="F38" s="262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4"/>
      <c r="T38" s="234"/>
      <c r="U38" s="234"/>
      <c r="V38" s="234"/>
      <c r="W38" s="51"/>
    </row>
    <row r="39" spans="1:23" ht="15.75" customHeight="1" x14ac:dyDescent="0.25">
      <c r="A39" s="227"/>
      <c r="B39" s="228"/>
      <c r="C39" s="228"/>
      <c r="D39" s="228"/>
      <c r="E39" s="228"/>
      <c r="F39" s="27" t="s">
        <v>165</v>
      </c>
      <c r="G39" s="49">
        <v>1</v>
      </c>
      <c r="H39" s="50" t="s">
        <v>149</v>
      </c>
      <c r="I39" s="50">
        <v>12</v>
      </c>
      <c r="J39" s="50" t="s">
        <v>152</v>
      </c>
      <c r="K39" s="265">
        <v>3.5000000000000003E-2</v>
      </c>
      <c r="L39" s="266"/>
      <c r="M39" s="50" t="s">
        <v>166</v>
      </c>
      <c r="N39" s="39"/>
      <c r="O39" s="39"/>
      <c r="P39" s="39"/>
      <c r="Q39" s="39"/>
      <c r="R39" s="40"/>
      <c r="S39" s="41"/>
      <c r="T39" s="236"/>
      <c r="U39" s="236"/>
      <c r="V39" s="236"/>
      <c r="W39" s="44">
        <f>T34</f>
        <v>2.9166666666666668E-3</v>
      </c>
    </row>
    <row r="40" spans="1:23" ht="15.75" customHeight="1" x14ac:dyDescent="0.25">
      <c r="A40" s="43"/>
      <c r="B40" s="43"/>
      <c r="C40" s="43"/>
      <c r="D40" s="43"/>
      <c r="E40" s="43"/>
      <c r="F40" s="28"/>
      <c r="G40" s="28"/>
      <c r="H40" s="72"/>
      <c r="I40" s="72"/>
      <c r="J40" s="72"/>
      <c r="K40" s="73"/>
      <c r="L40" s="74"/>
      <c r="M40" s="72"/>
      <c r="N40" s="43"/>
      <c r="O40" s="43"/>
      <c r="P40" s="43"/>
      <c r="Q40" s="43"/>
      <c r="R40" s="75"/>
      <c r="S40" s="75"/>
      <c r="T40" s="22"/>
      <c r="U40" s="22"/>
      <c r="V40" s="22"/>
      <c r="W40" s="34"/>
    </row>
    <row r="41" spans="1:23" ht="15.75" customHeight="1" x14ac:dyDescent="0.2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5"/>
      <c r="W41" s="44" t="s">
        <v>216</v>
      </c>
    </row>
    <row r="42" spans="1:23" ht="15.75" customHeight="1" x14ac:dyDescent="0.25">
      <c r="A42" s="287" t="s">
        <v>167</v>
      </c>
      <c r="B42" s="269"/>
      <c r="C42" s="269"/>
      <c r="D42" s="269"/>
      <c r="E42" s="269"/>
      <c r="F42" s="269"/>
      <c r="G42" s="269"/>
      <c r="H42" s="269"/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S42" s="269"/>
      <c r="T42" s="356">
        <v>6.9999999999999994E-5</v>
      </c>
      <c r="U42" s="357"/>
      <c r="V42" s="358"/>
      <c r="W42" s="76" t="s">
        <v>213</v>
      </c>
    </row>
    <row r="43" spans="1:23" ht="15.75" customHeight="1" x14ac:dyDescent="0.25">
      <c r="A43" s="287"/>
      <c r="B43" s="269"/>
      <c r="C43" s="269"/>
      <c r="D43" s="269"/>
      <c r="E43" s="269"/>
      <c r="F43" s="269"/>
      <c r="G43" s="269"/>
      <c r="H43" s="269"/>
      <c r="I43" s="269"/>
      <c r="J43" s="269"/>
      <c r="K43" s="269"/>
      <c r="L43" s="269"/>
      <c r="M43" s="269"/>
      <c r="N43" s="269"/>
      <c r="O43" s="269"/>
      <c r="P43" s="269"/>
      <c r="Q43" s="269"/>
      <c r="R43" s="269"/>
      <c r="S43" s="269"/>
      <c r="T43" s="359"/>
      <c r="U43" s="360"/>
      <c r="V43" s="361"/>
      <c r="W43" s="76" t="s">
        <v>214</v>
      </c>
    </row>
    <row r="44" spans="1:23" ht="15.75" customHeight="1" x14ac:dyDescent="0.25">
      <c r="A44" s="287"/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359"/>
      <c r="U44" s="360"/>
      <c r="V44" s="361"/>
      <c r="W44" s="76" t="s">
        <v>215</v>
      </c>
    </row>
    <row r="45" spans="1:23" ht="15.75" customHeight="1" x14ac:dyDescent="0.25">
      <c r="A45" s="287"/>
      <c r="B45" s="269"/>
      <c r="C45" s="269"/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359"/>
      <c r="U45" s="360"/>
      <c r="V45" s="361"/>
      <c r="W45" s="77"/>
    </row>
    <row r="46" spans="1:23" ht="15.75" customHeight="1" x14ac:dyDescent="0.25">
      <c r="A46" s="271"/>
      <c r="B46" s="272"/>
      <c r="C46" s="272"/>
      <c r="D46" s="272"/>
      <c r="E46" s="272"/>
      <c r="F46" s="365">
        <v>0.08</v>
      </c>
      <c r="G46" s="365"/>
      <c r="H46" s="67" t="s">
        <v>152</v>
      </c>
      <c r="I46" s="366">
        <v>5.4000000000000003E-3</v>
      </c>
      <c r="J46" s="366"/>
      <c r="K46" s="78" t="s">
        <v>152</v>
      </c>
      <c r="L46" s="367">
        <v>1</v>
      </c>
      <c r="M46" s="367"/>
      <c r="N46" s="78"/>
      <c r="O46" s="78"/>
      <c r="P46" s="67"/>
      <c r="Q46" s="67"/>
      <c r="R46" s="67"/>
      <c r="S46" s="67"/>
      <c r="T46" s="362"/>
      <c r="U46" s="363"/>
      <c r="V46" s="364"/>
      <c r="W46" s="79">
        <v>6.9999999999999994E-5</v>
      </c>
    </row>
    <row r="47" spans="1:23" ht="15.75" customHeight="1" x14ac:dyDescent="0.25">
      <c r="A47" s="43"/>
      <c r="B47" s="43"/>
      <c r="C47" s="43"/>
      <c r="D47" s="43"/>
      <c r="E47" s="43"/>
      <c r="F47" s="28"/>
      <c r="G47" s="28"/>
      <c r="H47" s="72"/>
      <c r="I47" s="72"/>
      <c r="J47" s="72"/>
      <c r="K47" s="73"/>
      <c r="L47" s="74"/>
      <c r="M47" s="72"/>
      <c r="N47" s="43"/>
      <c r="O47" s="43"/>
      <c r="P47" s="43"/>
      <c r="Q47" s="43"/>
      <c r="R47" s="75"/>
      <c r="S47" s="75"/>
      <c r="T47" s="22"/>
      <c r="U47" s="22"/>
      <c r="V47" s="22"/>
      <c r="W47" s="34"/>
    </row>
    <row r="48" spans="1:23" x14ac:dyDescent="0.25">
      <c r="A48" s="63"/>
      <c r="B48" s="63"/>
      <c r="C48" s="63"/>
      <c r="D48" s="63"/>
      <c r="E48" s="63"/>
      <c r="F48" s="80"/>
      <c r="G48" s="80"/>
      <c r="H48" s="63"/>
      <c r="I48" s="29"/>
      <c r="J48" s="29"/>
      <c r="K48" s="63"/>
      <c r="L48" s="63"/>
      <c r="M48" s="63"/>
      <c r="N48" s="63"/>
      <c r="O48" s="63"/>
      <c r="P48" s="63"/>
      <c r="Q48" s="63"/>
      <c r="R48" s="63"/>
      <c r="S48" s="63"/>
      <c r="T48" s="22"/>
      <c r="U48" s="22"/>
      <c r="V48" s="23"/>
      <c r="W48" s="34"/>
    </row>
    <row r="49" spans="1:23" x14ac:dyDescent="0.25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5"/>
      <c r="W49" s="44" t="s">
        <v>223</v>
      </c>
    </row>
    <row r="50" spans="1:23" x14ac:dyDescent="0.25">
      <c r="A50" s="287" t="s">
        <v>170</v>
      </c>
      <c r="B50" s="269"/>
      <c r="C50" s="269"/>
      <c r="D50" s="269"/>
      <c r="E50" s="269"/>
      <c r="F50" s="269"/>
      <c r="G50" s="269"/>
      <c r="H50" s="269"/>
      <c r="I50" s="269"/>
      <c r="J50" s="269"/>
      <c r="K50" s="269"/>
      <c r="L50" s="269"/>
      <c r="M50" s="269"/>
      <c r="N50" s="269"/>
      <c r="O50" s="269"/>
      <c r="P50" s="269"/>
      <c r="Q50" s="269"/>
      <c r="R50" s="269"/>
      <c r="S50" s="269"/>
      <c r="T50" s="356">
        <f>(F54-I54)*1/12*L54</f>
        <v>6.9599999999999984E-5</v>
      </c>
      <c r="U50" s="357"/>
      <c r="V50" s="358"/>
      <c r="W50" s="354" t="s">
        <v>171</v>
      </c>
    </row>
    <row r="51" spans="1:23" x14ac:dyDescent="0.25">
      <c r="A51" s="287"/>
      <c r="B51" s="269"/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9"/>
      <c r="P51" s="269"/>
      <c r="Q51" s="269"/>
      <c r="R51" s="269"/>
      <c r="S51" s="269"/>
      <c r="T51" s="359"/>
      <c r="U51" s="360"/>
      <c r="V51" s="361"/>
      <c r="W51" s="355"/>
    </row>
    <row r="52" spans="1:23" x14ac:dyDescent="0.25">
      <c r="A52" s="287"/>
      <c r="B52" s="269"/>
      <c r="C52" s="269"/>
      <c r="D52" s="269"/>
      <c r="E52" s="269"/>
      <c r="F52" s="269"/>
      <c r="G52" s="269"/>
      <c r="H52" s="269"/>
      <c r="I52" s="269"/>
      <c r="J52" s="269"/>
      <c r="K52" s="269"/>
      <c r="L52" s="269"/>
      <c r="M52" s="269"/>
      <c r="N52" s="269"/>
      <c r="O52" s="269"/>
      <c r="P52" s="269"/>
      <c r="Q52" s="269"/>
      <c r="R52" s="269"/>
      <c r="S52" s="269"/>
      <c r="T52" s="359"/>
      <c r="U52" s="360"/>
      <c r="V52" s="361"/>
      <c r="W52" s="77" t="s">
        <v>172</v>
      </c>
    </row>
    <row r="53" spans="1:23" x14ac:dyDescent="0.25">
      <c r="A53" s="287"/>
      <c r="B53" s="269"/>
      <c r="C53" s="269"/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269"/>
      <c r="Q53" s="269"/>
      <c r="R53" s="269"/>
      <c r="S53" s="269"/>
      <c r="T53" s="359"/>
      <c r="U53" s="360"/>
      <c r="V53" s="361"/>
      <c r="W53" s="77"/>
    </row>
    <row r="54" spans="1:23" x14ac:dyDescent="0.25">
      <c r="A54" s="271"/>
      <c r="B54" s="272"/>
      <c r="C54" s="272"/>
      <c r="D54" s="272"/>
      <c r="E54" s="272"/>
      <c r="F54" s="368">
        <v>0.36799999999999999</v>
      </c>
      <c r="G54" s="368"/>
      <c r="H54" s="67" t="s">
        <v>152</v>
      </c>
      <c r="I54" s="368">
        <v>0.08</v>
      </c>
      <c r="J54" s="368"/>
      <c r="K54" s="78"/>
      <c r="L54" s="369">
        <v>2.8999999999999998E-3</v>
      </c>
      <c r="M54" s="369"/>
      <c r="N54" s="78"/>
      <c r="O54" s="78"/>
      <c r="P54" s="67"/>
      <c r="Q54" s="67"/>
      <c r="R54" s="67"/>
      <c r="S54" s="67"/>
      <c r="T54" s="362"/>
      <c r="U54" s="363"/>
      <c r="V54" s="364"/>
      <c r="W54" s="81">
        <f>T50</f>
        <v>6.9599999999999984E-5</v>
      </c>
    </row>
    <row r="55" spans="1:23" x14ac:dyDescent="0.25">
      <c r="A55" s="63"/>
      <c r="B55" s="63"/>
      <c r="C55" s="63"/>
      <c r="D55" s="63"/>
      <c r="E55" s="63"/>
      <c r="F55" s="80"/>
      <c r="G55" s="80"/>
      <c r="H55" s="63"/>
      <c r="I55" s="29"/>
      <c r="J55" s="29"/>
      <c r="K55" s="63"/>
      <c r="L55" s="63"/>
      <c r="M55" s="63"/>
      <c r="N55" s="63"/>
      <c r="O55" s="63"/>
      <c r="P55" s="63"/>
      <c r="Q55" s="63"/>
      <c r="R55" s="63"/>
      <c r="S55" s="63"/>
      <c r="T55" s="22"/>
      <c r="U55" s="22"/>
      <c r="V55" s="23"/>
      <c r="W55" s="34"/>
    </row>
    <row r="56" spans="1:23" x14ac:dyDescent="0.25">
      <c r="A56" s="253"/>
      <c r="B56" s="254"/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5"/>
      <c r="W56" s="44" t="s">
        <v>173</v>
      </c>
    </row>
    <row r="57" spans="1:23" ht="15" customHeight="1" x14ac:dyDescent="0.25">
      <c r="A57" s="287" t="s">
        <v>174</v>
      </c>
      <c r="B57" s="269"/>
      <c r="C57" s="269"/>
      <c r="D57" s="269"/>
      <c r="E57" s="269"/>
      <c r="F57" s="269" t="s">
        <v>175</v>
      </c>
      <c r="G57" s="269"/>
      <c r="H57" s="269"/>
      <c r="I57" s="269"/>
      <c r="J57" s="269"/>
      <c r="K57" s="269"/>
      <c r="L57" s="269"/>
      <c r="M57" s="269"/>
      <c r="N57" s="269"/>
      <c r="O57" s="269"/>
      <c r="P57" s="269"/>
      <c r="Q57" s="269"/>
      <c r="R57" s="269"/>
      <c r="S57" s="269"/>
      <c r="T57" s="288">
        <f>F61*I61</f>
        <v>3.2000000000000001E-2</v>
      </c>
      <c r="U57" s="232"/>
      <c r="V57" s="233"/>
      <c r="W57" s="77" t="s">
        <v>168</v>
      </c>
    </row>
    <row r="58" spans="1:23" ht="15" customHeight="1" x14ac:dyDescent="0.25">
      <c r="A58" s="287"/>
      <c r="B58" s="269"/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89"/>
      <c r="U58" s="234"/>
      <c r="V58" s="235"/>
      <c r="W58" s="77" t="s">
        <v>169</v>
      </c>
    </row>
    <row r="59" spans="1:23" ht="15" customHeight="1" x14ac:dyDescent="0.25">
      <c r="A59" s="287"/>
      <c r="B59" s="269"/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69"/>
      <c r="N59" s="269"/>
      <c r="O59" s="269"/>
      <c r="P59" s="269"/>
      <c r="Q59" s="269"/>
      <c r="R59" s="269"/>
      <c r="S59" s="269"/>
      <c r="T59" s="289"/>
      <c r="U59" s="234"/>
      <c r="V59" s="235"/>
      <c r="W59" s="77" t="s">
        <v>144</v>
      </c>
    </row>
    <row r="60" spans="1:23" ht="15" customHeight="1" x14ac:dyDescent="0.25">
      <c r="A60" s="287"/>
      <c r="B60" s="269"/>
      <c r="C60" s="269"/>
      <c r="D60" s="269"/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269"/>
      <c r="P60" s="269"/>
      <c r="Q60" s="269"/>
      <c r="R60" s="269"/>
      <c r="S60" s="269"/>
      <c r="T60" s="289"/>
      <c r="U60" s="234"/>
      <c r="V60" s="235"/>
      <c r="W60" s="82"/>
    </row>
    <row r="61" spans="1:23" ht="15.75" customHeight="1" x14ac:dyDescent="0.25">
      <c r="A61" s="271"/>
      <c r="B61" s="272"/>
      <c r="C61" s="272"/>
      <c r="D61" s="272"/>
      <c r="E61" s="272"/>
      <c r="F61" s="291">
        <v>0.08</v>
      </c>
      <c r="G61" s="291"/>
      <c r="H61" s="67" t="s">
        <v>152</v>
      </c>
      <c r="I61" s="292">
        <v>0.4</v>
      </c>
      <c r="J61" s="292"/>
      <c r="K61" s="67"/>
      <c r="L61" s="67"/>
      <c r="M61" s="67">
        <v>100</v>
      </c>
      <c r="N61" s="67"/>
      <c r="O61" s="67"/>
      <c r="P61" s="67"/>
      <c r="Q61" s="67"/>
      <c r="R61" s="67"/>
      <c r="S61" s="67"/>
      <c r="T61" s="290"/>
      <c r="U61" s="236"/>
      <c r="V61" s="237"/>
      <c r="W61" s="44">
        <f>T57</f>
        <v>3.2000000000000001E-2</v>
      </c>
    </row>
    <row r="62" spans="1:23" x14ac:dyDescent="0.25">
      <c r="A62" s="63"/>
      <c r="B62" s="63"/>
      <c r="C62" s="63"/>
      <c r="D62" s="63"/>
      <c r="E62" s="63"/>
      <c r="F62" s="80"/>
      <c r="G62" s="80"/>
      <c r="H62" s="63"/>
      <c r="I62" s="29"/>
      <c r="J62" s="29"/>
      <c r="K62" s="63"/>
      <c r="L62" s="63"/>
      <c r="M62" s="63"/>
      <c r="N62" s="63"/>
      <c r="O62" s="63"/>
      <c r="P62" s="63"/>
      <c r="Q62" s="63"/>
      <c r="R62" s="63"/>
      <c r="S62" s="63"/>
      <c r="T62" s="22"/>
      <c r="U62" s="22"/>
      <c r="V62" s="22"/>
      <c r="W62" s="34"/>
    </row>
    <row r="63" spans="1:23" ht="15" customHeight="1" x14ac:dyDescent="0.25">
      <c r="A63" s="224" t="s">
        <v>176</v>
      </c>
      <c r="B63" s="214"/>
      <c r="C63" s="214"/>
      <c r="D63" s="214"/>
      <c r="E63" s="214"/>
      <c r="F63" s="229" t="s">
        <v>177</v>
      </c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1"/>
      <c r="T63" s="232">
        <f>F66/I66</f>
        <v>8.3333333333333329E-2</v>
      </c>
      <c r="U63" s="232"/>
      <c r="V63" s="233"/>
      <c r="W63" s="44" t="s">
        <v>178</v>
      </c>
    </row>
    <row r="64" spans="1:23" ht="15" customHeight="1" x14ac:dyDescent="0.25">
      <c r="A64" s="225"/>
      <c r="B64" s="226"/>
      <c r="C64" s="226"/>
      <c r="D64" s="226"/>
      <c r="E64" s="226"/>
      <c r="F64" s="262"/>
      <c r="G64" s="263"/>
      <c r="H64" s="263"/>
      <c r="I64" s="263"/>
      <c r="J64" s="263"/>
      <c r="K64" s="263"/>
      <c r="L64" s="263"/>
      <c r="M64" s="263"/>
      <c r="N64" s="263"/>
      <c r="O64" s="263"/>
      <c r="P64" s="263"/>
      <c r="Q64" s="263"/>
      <c r="R64" s="263"/>
      <c r="S64" s="264"/>
      <c r="T64" s="234"/>
      <c r="U64" s="234"/>
      <c r="V64" s="235"/>
      <c r="W64" s="45" t="s">
        <v>179</v>
      </c>
    </row>
    <row r="65" spans="1:23" ht="15" customHeight="1" x14ac:dyDescent="0.25">
      <c r="A65" s="225"/>
      <c r="B65" s="226"/>
      <c r="C65" s="226"/>
      <c r="D65" s="226"/>
      <c r="E65" s="226"/>
      <c r="F65" s="262"/>
      <c r="G65" s="263"/>
      <c r="H65" s="263"/>
      <c r="I65" s="263"/>
      <c r="J65" s="263"/>
      <c r="K65" s="263"/>
      <c r="L65" s="263"/>
      <c r="M65" s="263"/>
      <c r="N65" s="263"/>
      <c r="O65" s="263"/>
      <c r="P65" s="263"/>
      <c r="Q65" s="263"/>
      <c r="R65" s="263"/>
      <c r="S65" s="264"/>
      <c r="T65" s="234"/>
      <c r="U65" s="234"/>
      <c r="V65" s="235"/>
      <c r="W65" s="45" t="s">
        <v>142</v>
      </c>
    </row>
    <row r="66" spans="1:23" ht="15" customHeight="1" x14ac:dyDescent="0.25">
      <c r="A66" s="227"/>
      <c r="B66" s="228"/>
      <c r="C66" s="228"/>
      <c r="D66" s="228"/>
      <c r="E66" s="228"/>
      <c r="F66" s="293">
        <v>1</v>
      </c>
      <c r="G66" s="294"/>
      <c r="H66" s="67" t="s">
        <v>149</v>
      </c>
      <c r="I66" s="294">
        <v>12</v>
      </c>
      <c r="J66" s="294"/>
      <c r="K66" s="265"/>
      <c r="L66" s="265"/>
      <c r="M66" s="43"/>
      <c r="N66" s="43"/>
      <c r="O66" s="266"/>
      <c r="P66" s="266"/>
      <c r="Q66" s="43"/>
      <c r="R66" s="75"/>
      <c r="S66" s="83"/>
      <c r="T66" s="236"/>
      <c r="U66" s="236"/>
      <c r="V66" s="237"/>
      <c r="W66" s="45" t="s">
        <v>144</v>
      </c>
    </row>
    <row r="67" spans="1:23" ht="15" customHeight="1" x14ac:dyDescent="0.25">
      <c r="A67" s="224" t="s">
        <v>180</v>
      </c>
      <c r="B67" s="214"/>
      <c r="C67" s="214"/>
      <c r="D67" s="214"/>
      <c r="E67" s="214"/>
      <c r="F67" s="229" t="str">
        <f>CONCATENATE("Criada pelo art. 7º, inciso XIX da CF, combinado com o art. 10, § 1º dos Atos das Disposições Constitucionais Transitórias - ADCT, a Licença Paternidade concede ao empregado o direito de ausentar-se do serviço por cinco dias quando do nascimento do filho.","Considera-se que ",O73*100, " % é média de trabalhadores que se tornam pais durante o ano. ", "Dessa forma a provisão para este item corresponde a:")</f>
        <v>Criada pelo art. 7º, inciso XIX da CF, combinado com o art. 10, § 1º dos Atos das Disposições Constitucionais Transitórias - ADCT, a Licença Paternidade concede ao empregado o direito de ausentar-se do serviço por cinco dias quando do nascimento do filho.Considera-se que 5 % é média de trabalhadores que se tornam pais durante o ano. Dessa forma a provisão para este item corresponde a:</v>
      </c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1"/>
      <c r="T67" s="232">
        <f>(G73/I73/K73*O73)</f>
        <v>6.9444444444444458E-4</v>
      </c>
      <c r="U67" s="232"/>
      <c r="V67" s="233"/>
      <c r="W67" s="44" t="s">
        <v>181</v>
      </c>
    </row>
    <row r="68" spans="1:23" ht="15" customHeight="1" x14ac:dyDescent="0.25">
      <c r="A68" s="225"/>
      <c r="B68" s="226"/>
      <c r="C68" s="226"/>
      <c r="D68" s="226"/>
      <c r="E68" s="226"/>
      <c r="F68" s="262"/>
      <c r="G68" s="263"/>
      <c r="H68" s="263"/>
      <c r="I68" s="263"/>
      <c r="J68" s="263"/>
      <c r="K68" s="263"/>
      <c r="L68" s="263"/>
      <c r="M68" s="263"/>
      <c r="N68" s="263"/>
      <c r="O68" s="263"/>
      <c r="P68" s="263"/>
      <c r="Q68" s="263"/>
      <c r="R68" s="263"/>
      <c r="S68" s="264"/>
      <c r="T68" s="234"/>
      <c r="U68" s="234"/>
      <c r="V68" s="235"/>
      <c r="W68" s="77" t="s">
        <v>182</v>
      </c>
    </row>
    <row r="69" spans="1:23" ht="15" customHeight="1" x14ac:dyDescent="0.25">
      <c r="A69" s="225"/>
      <c r="B69" s="226"/>
      <c r="C69" s="226"/>
      <c r="D69" s="226"/>
      <c r="E69" s="226"/>
      <c r="F69" s="262"/>
      <c r="G69" s="263"/>
      <c r="H69" s="263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4"/>
      <c r="T69" s="234"/>
      <c r="U69" s="234"/>
      <c r="V69" s="235"/>
      <c r="W69" s="77" t="s">
        <v>183</v>
      </c>
    </row>
    <row r="70" spans="1:23" ht="15" customHeight="1" x14ac:dyDescent="0.25">
      <c r="A70" s="225"/>
      <c r="B70" s="226"/>
      <c r="C70" s="226"/>
      <c r="D70" s="226"/>
      <c r="E70" s="226"/>
      <c r="F70" s="262"/>
      <c r="G70" s="263"/>
      <c r="H70" s="263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4"/>
      <c r="T70" s="234"/>
      <c r="U70" s="234"/>
      <c r="V70" s="235"/>
      <c r="W70" s="77" t="s">
        <v>142</v>
      </c>
    </row>
    <row r="71" spans="1:23" ht="15" customHeight="1" x14ac:dyDescent="0.25">
      <c r="A71" s="225"/>
      <c r="B71" s="226"/>
      <c r="C71" s="226"/>
      <c r="D71" s="226"/>
      <c r="E71" s="226"/>
      <c r="F71" s="262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4"/>
      <c r="T71" s="234"/>
      <c r="U71" s="234"/>
      <c r="V71" s="235"/>
      <c r="W71" s="77" t="s">
        <v>184</v>
      </c>
    </row>
    <row r="72" spans="1:23" ht="15" customHeight="1" x14ac:dyDescent="0.25">
      <c r="A72" s="225"/>
      <c r="B72" s="226"/>
      <c r="C72" s="226"/>
      <c r="D72" s="226"/>
      <c r="E72" s="226"/>
      <c r="F72" s="262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4"/>
      <c r="T72" s="234"/>
      <c r="U72" s="234"/>
      <c r="V72" s="235"/>
      <c r="W72" s="77" t="s">
        <v>144</v>
      </c>
    </row>
    <row r="73" spans="1:23" ht="15" customHeight="1" x14ac:dyDescent="0.25">
      <c r="A73" s="227"/>
      <c r="B73" s="228"/>
      <c r="C73" s="228"/>
      <c r="D73" s="228"/>
      <c r="E73" s="228"/>
      <c r="F73" s="27" t="s">
        <v>165</v>
      </c>
      <c r="G73" s="49">
        <v>5</v>
      </c>
      <c r="H73" s="50" t="s">
        <v>149</v>
      </c>
      <c r="I73" s="50">
        <v>12</v>
      </c>
      <c r="J73" s="50" t="s">
        <v>149</v>
      </c>
      <c r="K73" s="50">
        <v>30</v>
      </c>
      <c r="L73" s="50" t="s">
        <v>166</v>
      </c>
      <c r="M73" s="39" t="s">
        <v>152</v>
      </c>
      <c r="N73" s="50" t="s">
        <v>165</v>
      </c>
      <c r="O73" s="286">
        <v>0.05</v>
      </c>
      <c r="P73" s="286"/>
      <c r="Q73" s="50" t="s">
        <v>166</v>
      </c>
      <c r="R73" s="40"/>
      <c r="S73" s="41"/>
      <c r="T73" s="236"/>
      <c r="U73" s="236"/>
      <c r="V73" s="237"/>
      <c r="W73" s="77"/>
    </row>
    <row r="74" spans="1:23" ht="15" customHeight="1" x14ac:dyDescent="0.25">
      <c r="A74" s="299" t="s">
        <v>185</v>
      </c>
      <c r="B74" s="300"/>
      <c r="C74" s="300"/>
      <c r="D74" s="300"/>
      <c r="E74" s="300"/>
      <c r="F74" s="229" t="str">
        <f>CONCATENATE("Ausências ao trabalho asseguradas ao empregado pelos artigos 473 e 822 da CLT, Art. 430 do CPP, art. 419, parágrafo único do CPC, e Súmula nº 155 do TST", " (morte de cônjuge, ascendente, descendente, casamento, nascimento de filho, doação de sangue, alistamento eleitoral, serviço militar, comparecer à Juízo).","Assim considerou-se em média ",G78, " ausência por trabalhador no ano:")</f>
        <v>Ausências ao trabalho asseguradas ao empregado pelos artigos 473 e 822 da CLT, Art. 430 do CPP, art. 419, parágrafo único do CPC, e Súmula nº 155 do TST (morte de cônjuge, ascendente, descendente, casamento, nascimento de filho, doação de sangue, alistamento eleitoral, serviço militar, comparecer à Juízo).Assim considerou-se em média 1 ausência por trabalhador no ano:</v>
      </c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  <c r="S74" s="231"/>
      <c r="T74" s="232">
        <f>G78/I78/K78</f>
        <v>2.7777777777777779E-3</v>
      </c>
      <c r="U74" s="232"/>
      <c r="V74" s="233"/>
      <c r="W74" s="44" t="s">
        <v>186</v>
      </c>
    </row>
    <row r="75" spans="1:23" ht="15" customHeight="1" x14ac:dyDescent="0.25">
      <c r="A75" s="301"/>
      <c r="B75" s="302"/>
      <c r="C75" s="302"/>
      <c r="D75" s="302"/>
      <c r="E75" s="302"/>
      <c r="F75" s="262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4"/>
      <c r="T75" s="234"/>
      <c r="U75" s="234"/>
      <c r="V75" s="235"/>
      <c r="W75" s="77" t="s">
        <v>187</v>
      </c>
    </row>
    <row r="76" spans="1:23" ht="15" customHeight="1" x14ac:dyDescent="0.25">
      <c r="A76" s="301"/>
      <c r="B76" s="302"/>
      <c r="C76" s="302"/>
      <c r="D76" s="302"/>
      <c r="E76" s="302"/>
      <c r="F76" s="262"/>
      <c r="G76" s="263"/>
      <c r="H76" s="263"/>
      <c r="I76" s="263"/>
      <c r="J76" s="263"/>
      <c r="K76" s="263"/>
      <c r="L76" s="263"/>
      <c r="M76" s="263"/>
      <c r="N76" s="263"/>
      <c r="O76" s="263"/>
      <c r="P76" s="263"/>
      <c r="Q76" s="263"/>
      <c r="R76" s="263"/>
      <c r="S76" s="264"/>
      <c r="T76" s="234"/>
      <c r="U76" s="234"/>
      <c r="V76" s="235"/>
      <c r="W76" s="77" t="s">
        <v>183</v>
      </c>
    </row>
    <row r="77" spans="1:23" ht="15" customHeight="1" x14ac:dyDescent="0.25">
      <c r="A77" s="301"/>
      <c r="B77" s="302"/>
      <c r="C77" s="302"/>
      <c r="D77" s="302"/>
      <c r="E77" s="302"/>
      <c r="F77" s="262"/>
      <c r="G77" s="263"/>
      <c r="H77" s="263"/>
      <c r="I77" s="263"/>
      <c r="J77" s="263"/>
      <c r="K77" s="263"/>
      <c r="L77" s="263"/>
      <c r="M77" s="263"/>
      <c r="N77" s="263"/>
      <c r="O77" s="263"/>
      <c r="P77" s="263"/>
      <c r="Q77" s="263"/>
      <c r="R77" s="263"/>
      <c r="S77" s="264"/>
      <c r="T77" s="234"/>
      <c r="U77" s="234"/>
      <c r="V77" s="235"/>
      <c r="W77" s="77" t="s">
        <v>142</v>
      </c>
    </row>
    <row r="78" spans="1:23" ht="15" customHeight="1" x14ac:dyDescent="0.25">
      <c r="A78" s="303"/>
      <c r="B78" s="304"/>
      <c r="C78" s="304"/>
      <c r="D78" s="304"/>
      <c r="E78" s="304"/>
      <c r="F78" s="27" t="s">
        <v>165</v>
      </c>
      <c r="G78" s="49">
        <v>1</v>
      </c>
      <c r="H78" s="50" t="s">
        <v>149</v>
      </c>
      <c r="I78" s="50">
        <v>30</v>
      </c>
      <c r="J78" s="50" t="s">
        <v>149</v>
      </c>
      <c r="K78" s="50">
        <v>12</v>
      </c>
      <c r="L78" s="50" t="s">
        <v>166</v>
      </c>
      <c r="M78" s="39"/>
      <c r="N78" s="39"/>
      <c r="O78" s="39"/>
      <c r="P78" s="39"/>
      <c r="Q78" s="39"/>
      <c r="R78" s="40"/>
      <c r="S78" s="41"/>
      <c r="T78" s="236"/>
      <c r="U78" s="236"/>
      <c r="V78" s="237"/>
      <c r="W78" s="77" t="s">
        <v>188</v>
      </c>
    </row>
    <row r="79" spans="1:23" ht="15" customHeight="1" x14ac:dyDescent="0.25">
      <c r="A79" s="229" t="s">
        <v>189</v>
      </c>
      <c r="B79" s="267"/>
      <c r="C79" s="267"/>
      <c r="D79" s="267"/>
      <c r="E79" s="268"/>
      <c r="F79" s="229" t="str">
        <f>CONCATENATE("Fundamento Legal: Artigos, 7º, XXI, da CF/88, Arts. 477, 487, 488 e 491 da CLT. Essa rubrica refere-se ao provisionamento a ser pago à empresa para que a mesma substitua o empregado que esteja cumprindo aviso prévio e sofra redução de 2 (duas)"," horas diárias em sua jornada de trabalho no mês de aviso prévio, ou opte por faltar ao serviço por 7 (sete) dias corridos, no caso de o empregador rescindir o contrato sem justo motivo e conceder aviso prévio."," Estima-se em: ",O85*100," % a estatística anual de empregados que recebem aviso prévio trabalhado.""")</f>
        <v>Fundamento Legal: Artigos, 7º, XXI, da CF/88, Arts. 477, 487, 488 e 491 da CLT. Essa rubrica refere-se ao provisionamento a ser pago à empresa para que a mesma substitua o empregado que esteja cumprindo aviso prévio e sofra redução de 2 (duas) horas diárias em sua jornada de trabalho no mês de aviso prévio, ou opte por faltar ao serviço por 7 (sete) dias corridos, no caso de o empregador rescindir o contrato sem justo motivo e conceder aviso prévio. Estima-se em: 100 % a estatística anual de empregados que recebem aviso prévio trabalhado."</v>
      </c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1"/>
      <c r="T79" s="232">
        <f>(G85/I85/K85*O85)</f>
        <v>1.9444444444444445E-2</v>
      </c>
      <c r="U79" s="232"/>
      <c r="V79" s="233"/>
      <c r="W79" s="44" t="s">
        <v>190</v>
      </c>
    </row>
    <row r="80" spans="1:23" ht="15" customHeight="1" x14ac:dyDescent="0.25">
      <c r="A80" s="262"/>
      <c r="B80" s="269"/>
      <c r="C80" s="269"/>
      <c r="D80" s="269"/>
      <c r="E80" s="270"/>
      <c r="F80" s="262"/>
      <c r="G80" s="263"/>
      <c r="H80" s="263"/>
      <c r="I80" s="263"/>
      <c r="J80" s="263"/>
      <c r="K80" s="263"/>
      <c r="L80" s="263"/>
      <c r="M80" s="263"/>
      <c r="N80" s="263"/>
      <c r="O80" s="263"/>
      <c r="P80" s="263"/>
      <c r="Q80" s="263"/>
      <c r="R80" s="263"/>
      <c r="S80" s="264"/>
      <c r="T80" s="234"/>
      <c r="U80" s="234"/>
      <c r="V80" s="235"/>
      <c r="W80" s="77" t="s">
        <v>191</v>
      </c>
    </row>
    <row r="81" spans="1:23" ht="15" customHeight="1" x14ac:dyDescent="0.25">
      <c r="A81" s="262"/>
      <c r="B81" s="269"/>
      <c r="C81" s="269"/>
      <c r="D81" s="269"/>
      <c r="E81" s="270"/>
      <c r="F81" s="262"/>
      <c r="G81" s="263"/>
      <c r="H81" s="263"/>
      <c r="I81" s="263"/>
      <c r="J81" s="263"/>
      <c r="K81" s="263"/>
      <c r="L81" s="263"/>
      <c r="M81" s="263"/>
      <c r="N81" s="263"/>
      <c r="O81" s="263"/>
      <c r="P81" s="263"/>
      <c r="Q81" s="263"/>
      <c r="R81" s="263"/>
      <c r="S81" s="264"/>
      <c r="T81" s="234"/>
      <c r="U81" s="234"/>
      <c r="V81" s="235"/>
      <c r="W81" s="77" t="s">
        <v>183</v>
      </c>
    </row>
    <row r="82" spans="1:23" ht="15" customHeight="1" x14ac:dyDescent="0.25">
      <c r="A82" s="262"/>
      <c r="B82" s="269"/>
      <c r="C82" s="269"/>
      <c r="D82" s="269"/>
      <c r="E82" s="270"/>
      <c r="F82" s="262"/>
      <c r="G82" s="263"/>
      <c r="H82" s="263"/>
      <c r="I82" s="263"/>
      <c r="J82" s="263"/>
      <c r="K82" s="263"/>
      <c r="L82" s="263"/>
      <c r="M82" s="263"/>
      <c r="N82" s="263"/>
      <c r="O82" s="263"/>
      <c r="P82" s="263"/>
      <c r="Q82" s="263"/>
      <c r="R82" s="263"/>
      <c r="S82" s="264"/>
      <c r="T82" s="234"/>
      <c r="U82" s="234"/>
      <c r="V82" s="235"/>
      <c r="W82" s="77" t="s">
        <v>144</v>
      </c>
    </row>
    <row r="83" spans="1:23" ht="15" customHeight="1" x14ac:dyDescent="0.25">
      <c r="A83" s="262"/>
      <c r="B83" s="269"/>
      <c r="C83" s="269"/>
      <c r="D83" s="269"/>
      <c r="E83" s="270"/>
      <c r="F83" s="262"/>
      <c r="G83" s="263"/>
      <c r="H83" s="263"/>
      <c r="I83" s="263"/>
      <c r="J83" s="263"/>
      <c r="K83" s="263"/>
      <c r="L83" s="263"/>
      <c r="M83" s="263"/>
      <c r="N83" s="263"/>
      <c r="O83" s="263"/>
      <c r="P83" s="263"/>
      <c r="Q83" s="263"/>
      <c r="R83" s="263"/>
      <c r="S83" s="264"/>
      <c r="T83" s="234"/>
      <c r="U83" s="234"/>
      <c r="V83" s="235"/>
      <c r="W83" s="77" t="s">
        <v>148</v>
      </c>
    </row>
    <row r="84" spans="1:23" ht="15" customHeight="1" x14ac:dyDescent="0.25">
      <c r="A84" s="262"/>
      <c r="B84" s="269"/>
      <c r="C84" s="269"/>
      <c r="D84" s="269"/>
      <c r="E84" s="270"/>
      <c r="F84" s="262"/>
      <c r="G84" s="263"/>
      <c r="H84" s="263"/>
      <c r="I84" s="263"/>
      <c r="J84" s="263"/>
      <c r="K84" s="263"/>
      <c r="L84" s="263"/>
      <c r="M84" s="263"/>
      <c r="N84" s="263"/>
      <c r="O84" s="263"/>
      <c r="P84" s="263"/>
      <c r="Q84" s="263"/>
      <c r="R84" s="263"/>
      <c r="S84" s="264"/>
      <c r="T84" s="234"/>
      <c r="U84" s="234"/>
      <c r="V84" s="235"/>
      <c r="W84" s="77"/>
    </row>
    <row r="85" spans="1:23" ht="15" customHeight="1" x14ac:dyDescent="0.25">
      <c r="A85" s="271"/>
      <c r="B85" s="272"/>
      <c r="C85" s="272"/>
      <c r="D85" s="272"/>
      <c r="E85" s="273"/>
      <c r="F85" s="27" t="s">
        <v>165</v>
      </c>
      <c r="G85" s="49">
        <v>7</v>
      </c>
      <c r="H85" s="50" t="s">
        <v>149</v>
      </c>
      <c r="I85" s="50">
        <v>30</v>
      </c>
      <c r="J85" s="50" t="s">
        <v>149</v>
      </c>
      <c r="K85" s="50">
        <v>12</v>
      </c>
      <c r="L85" s="50" t="s">
        <v>166</v>
      </c>
      <c r="M85" s="50" t="s">
        <v>152</v>
      </c>
      <c r="N85" s="50" t="s">
        <v>165</v>
      </c>
      <c r="O85" s="286">
        <v>1</v>
      </c>
      <c r="P85" s="286"/>
      <c r="Q85" s="50" t="s">
        <v>166</v>
      </c>
      <c r="R85" s="40"/>
      <c r="S85" s="41"/>
      <c r="T85" s="236"/>
      <c r="U85" s="236"/>
      <c r="V85" s="237"/>
      <c r="W85" s="77"/>
    </row>
    <row r="86" spans="1:23" ht="15" customHeight="1" x14ac:dyDescent="0.25">
      <c r="A86" s="224" t="s">
        <v>192</v>
      </c>
      <c r="B86" s="305"/>
      <c r="C86" s="305"/>
      <c r="D86" s="305"/>
      <c r="E86" s="306"/>
      <c r="F86" s="312" t="str">
        <f>CONCATENATE("Esta parcela refere-se aos dias em que o empregado fica doente e a contratada deve providenciar sua substituição. Estimamos em ",G91," ausências ao ano por trabalhador, devendo-se converter esses dias em mês e depois dividi-lo pelo número de meses no ano."," Fundamento Legal: Artigos 59 a 64 da Lei n.º 8.213/1991 e Arts. 71 a 80 do Decreto nº 3.048/99 (Regul. Previdência Social).")</f>
        <v>Esta parcela refere-se aos dias em que o empregado fica doente e a contratada deve providenciar sua substituição. Estimamos em 4,14 ausências ao ano por trabalhador, devendo-se converter esses dias em mês e depois dividi-lo pelo número de meses no ano. Fundamento Legal: Artigos 59 a 64 da Lei n.º 8.213/1991 e Arts. 71 a 80 do Decreto nº 3.048/99 (Regul. Previdência Social).</v>
      </c>
      <c r="G86" s="313"/>
      <c r="H86" s="313"/>
      <c r="I86" s="313"/>
      <c r="J86" s="313"/>
      <c r="K86" s="313"/>
      <c r="L86" s="313"/>
      <c r="M86" s="313"/>
      <c r="N86" s="313"/>
      <c r="O86" s="313"/>
      <c r="P86" s="313"/>
      <c r="Q86" s="313"/>
      <c r="R86" s="313"/>
      <c r="S86" s="314"/>
      <c r="T86" s="288">
        <f>(G91/I91/K91)</f>
        <v>1.1499999999999998E-2</v>
      </c>
      <c r="U86" s="318"/>
      <c r="V86" s="319"/>
      <c r="W86" s="44" t="s">
        <v>193</v>
      </c>
    </row>
    <row r="87" spans="1:23" ht="15" customHeight="1" x14ac:dyDescent="0.25">
      <c r="A87" s="225"/>
      <c r="B87" s="307"/>
      <c r="C87" s="307"/>
      <c r="D87" s="307"/>
      <c r="E87" s="308"/>
      <c r="F87" s="315"/>
      <c r="G87" s="316"/>
      <c r="H87" s="316"/>
      <c r="I87" s="316"/>
      <c r="J87" s="316"/>
      <c r="K87" s="316"/>
      <c r="L87" s="316"/>
      <c r="M87" s="316"/>
      <c r="N87" s="316"/>
      <c r="O87" s="316"/>
      <c r="P87" s="316"/>
      <c r="Q87" s="316"/>
      <c r="R87" s="316"/>
      <c r="S87" s="317"/>
      <c r="T87" s="289"/>
      <c r="U87" s="320"/>
      <c r="V87" s="321"/>
      <c r="W87" s="77" t="s">
        <v>194</v>
      </c>
    </row>
    <row r="88" spans="1:23" ht="15" customHeight="1" x14ac:dyDescent="0.25">
      <c r="A88" s="225"/>
      <c r="B88" s="307"/>
      <c r="C88" s="307"/>
      <c r="D88" s="307"/>
      <c r="E88" s="308"/>
      <c r="F88" s="315"/>
      <c r="G88" s="316"/>
      <c r="H88" s="316"/>
      <c r="I88" s="316"/>
      <c r="J88" s="316"/>
      <c r="K88" s="316"/>
      <c r="L88" s="316"/>
      <c r="M88" s="316"/>
      <c r="N88" s="316"/>
      <c r="O88" s="316"/>
      <c r="P88" s="316"/>
      <c r="Q88" s="316"/>
      <c r="R88" s="316"/>
      <c r="S88" s="317"/>
      <c r="T88" s="289"/>
      <c r="U88" s="320"/>
      <c r="V88" s="321"/>
      <c r="W88" s="77" t="s">
        <v>183</v>
      </c>
    </row>
    <row r="89" spans="1:23" ht="15" customHeight="1" x14ac:dyDescent="0.25">
      <c r="A89" s="225"/>
      <c r="B89" s="307"/>
      <c r="C89" s="307"/>
      <c r="D89" s="307"/>
      <c r="E89" s="308"/>
      <c r="F89" s="315"/>
      <c r="G89" s="316"/>
      <c r="H89" s="316"/>
      <c r="I89" s="316"/>
      <c r="J89" s="316"/>
      <c r="K89" s="316"/>
      <c r="L89" s="316"/>
      <c r="M89" s="316"/>
      <c r="N89" s="316"/>
      <c r="O89" s="316"/>
      <c r="P89" s="316"/>
      <c r="Q89" s="316"/>
      <c r="R89" s="316"/>
      <c r="S89" s="317"/>
      <c r="T89" s="289"/>
      <c r="U89" s="320"/>
      <c r="V89" s="321"/>
      <c r="W89" s="77" t="s">
        <v>142</v>
      </c>
    </row>
    <row r="90" spans="1:23" ht="15" customHeight="1" x14ac:dyDescent="0.25">
      <c r="A90" s="225"/>
      <c r="B90" s="307"/>
      <c r="C90" s="307"/>
      <c r="D90" s="307"/>
      <c r="E90" s="308"/>
      <c r="F90" s="315"/>
      <c r="G90" s="316"/>
      <c r="H90" s="316"/>
      <c r="I90" s="316"/>
      <c r="J90" s="316"/>
      <c r="K90" s="316"/>
      <c r="L90" s="316"/>
      <c r="M90" s="316"/>
      <c r="N90" s="316"/>
      <c r="O90" s="316"/>
      <c r="P90" s="316"/>
      <c r="Q90" s="316"/>
      <c r="R90" s="316"/>
      <c r="S90" s="317"/>
      <c r="T90" s="289"/>
      <c r="U90" s="320"/>
      <c r="V90" s="321"/>
      <c r="W90" s="77" t="s">
        <v>144</v>
      </c>
    </row>
    <row r="91" spans="1:23" ht="15" customHeight="1" x14ac:dyDescent="0.25">
      <c r="A91" s="309"/>
      <c r="B91" s="310"/>
      <c r="C91" s="310"/>
      <c r="D91" s="310"/>
      <c r="E91" s="311"/>
      <c r="F91" s="27" t="s">
        <v>165</v>
      </c>
      <c r="G91" s="84">
        <v>4.1399999999999997</v>
      </c>
      <c r="H91" s="50" t="s">
        <v>149</v>
      </c>
      <c r="I91" s="50">
        <v>30</v>
      </c>
      <c r="J91" s="50" t="s">
        <v>149</v>
      </c>
      <c r="K91" s="50">
        <v>12</v>
      </c>
      <c r="L91" s="50" t="s">
        <v>166</v>
      </c>
      <c r="M91" s="39"/>
      <c r="N91" s="39"/>
      <c r="O91" s="39"/>
      <c r="P91" s="39"/>
      <c r="Q91" s="39"/>
      <c r="R91" s="40"/>
      <c r="S91" s="41"/>
      <c r="T91" s="322"/>
      <c r="U91" s="323"/>
      <c r="V91" s="324"/>
      <c r="W91" s="77"/>
    </row>
    <row r="92" spans="1:23" ht="15" customHeight="1" x14ac:dyDescent="0.25">
      <c r="A92" s="262" t="s">
        <v>195</v>
      </c>
      <c r="B92" s="269"/>
      <c r="C92" s="269"/>
      <c r="D92" s="269"/>
      <c r="E92" s="270"/>
      <c r="F92" s="262" t="str">
        <f>CONCATENATE("A Lei nº 8.213/1991 (Arts. 19 a 23 e 60), obriga o empregador a assumir ônus financeiro pelo prazo de 15 dias, no caso de acidente de trabalho.","Estima-se em ",O97*100," % a média de trabalhadores que sofrem acidente durante o ano.")</f>
        <v>A Lei nº 8.213/1991 (Arts. 19 a 23 e 60), obriga o empregador a assumir ônus financeiro pelo prazo de 15 dias, no caso de acidente de trabalho.Estima-se em 8 % a média de trabalhadores que sofrem acidente durante o ano.</v>
      </c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4"/>
      <c r="T92" s="234">
        <f>(G97/I97/K97*O97)</f>
        <v>3.3333333333333331E-3</v>
      </c>
      <c r="U92" s="234"/>
      <c r="V92" s="235"/>
      <c r="W92" s="44" t="s">
        <v>196</v>
      </c>
    </row>
    <row r="93" spans="1:23" ht="15" customHeight="1" x14ac:dyDescent="0.25">
      <c r="A93" s="262"/>
      <c r="B93" s="269"/>
      <c r="C93" s="269"/>
      <c r="D93" s="269"/>
      <c r="E93" s="270"/>
      <c r="F93" s="262"/>
      <c r="G93" s="263"/>
      <c r="H93" s="263"/>
      <c r="I93" s="263"/>
      <c r="J93" s="263"/>
      <c r="K93" s="263"/>
      <c r="L93" s="263"/>
      <c r="M93" s="263"/>
      <c r="N93" s="263"/>
      <c r="O93" s="263"/>
      <c r="P93" s="263"/>
      <c r="Q93" s="263"/>
      <c r="R93" s="263"/>
      <c r="S93" s="264"/>
      <c r="T93" s="234"/>
      <c r="U93" s="234"/>
      <c r="V93" s="235"/>
      <c r="W93" s="77" t="s">
        <v>197</v>
      </c>
    </row>
    <row r="94" spans="1:23" ht="15" customHeight="1" x14ac:dyDescent="0.25">
      <c r="A94" s="262"/>
      <c r="B94" s="269"/>
      <c r="C94" s="269"/>
      <c r="D94" s="269"/>
      <c r="E94" s="270"/>
      <c r="F94" s="262"/>
      <c r="G94" s="263"/>
      <c r="H94" s="263"/>
      <c r="I94" s="263"/>
      <c r="J94" s="263"/>
      <c r="K94" s="263"/>
      <c r="L94" s="263"/>
      <c r="M94" s="263"/>
      <c r="N94" s="263"/>
      <c r="O94" s="263"/>
      <c r="P94" s="263"/>
      <c r="Q94" s="263"/>
      <c r="R94" s="263"/>
      <c r="S94" s="264"/>
      <c r="T94" s="234"/>
      <c r="U94" s="234"/>
      <c r="V94" s="235"/>
      <c r="W94" s="77" t="s">
        <v>183</v>
      </c>
    </row>
    <row r="95" spans="1:23" ht="15" customHeight="1" x14ac:dyDescent="0.25">
      <c r="A95" s="262"/>
      <c r="B95" s="269"/>
      <c r="C95" s="269"/>
      <c r="D95" s="269"/>
      <c r="E95" s="270"/>
      <c r="F95" s="262"/>
      <c r="G95" s="263"/>
      <c r="H95" s="263"/>
      <c r="I95" s="263"/>
      <c r="J95" s="263"/>
      <c r="K95" s="263"/>
      <c r="L95" s="263"/>
      <c r="M95" s="263"/>
      <c r="N95" s="263"/>
      <c r="O95" s="263"/>
      <c r="P95" s="263"/>
      <c r="Q95" s="263"/>
      <c r="R95" s="263"/>
      <c r="S95" s="264"/>
      <c r="T95" s="234"/>
      <c r="U95" s="234"/>
      <c r="V95" s="235"/>
      <c r="W95" s="77" t="s">
        <v>142</v>
      </c>
    </row>
    <row r="96" spans="1:23" ht="15" customHeight="1" x14ac:dyDescent="0.25">
      <c r="A96" s="262"/>
      <c r="B96" s="269"/>
      <c r="C96" s="269"/>
      <c r="D96" s="269"/>
      <c r="E96" s="270"/>
      <c r="F96" s="262"/>
      <c r="G96" s="263"/>
      <c r="H96" s="263"/>
      <c r="I96" s="263"/>
      <c r="J96" s="263"/>
      <c r="K96" s="263"/>
      <c r="L96" s="263"/>
      <c r="M96" s="263"/>
      <c r="N96" s="263"/>
      <c r="O96" s="263"/>
      <c r="P96" s="263"/>
      <c r="Q96" s="263"/>
      <c r="R96" s="263"/>
      <c r="S96" s="264"/>
      <c r="T96" s="234"/>
      <c r="U96" s="234"/>
      <c r="V96" s="235"/>
      <c r="W96" s="77" t="s">
        <v>198</v>
      </c>
    </row>
    <row r="97" spans="1:23" ht="15" customHeight="1" x14ac:dyDescent="0.25">
      <c r="A97" s="271"/>
      <c r="B97" s="272"/>
      <c r="C97" s="272"/>
      <c r="D97" s="272"/>
      <c r="E97" s="273"/>
      <c r="F97" s="27" t="s">
        <v>165</v>
      </c>
      <c r="G97" s="49">
        <v>15</v>
      </c>
      <c r="H97" s="50" t="s">
        <v>149</v>
      </c>
      <c r="I97" s="50">
        <v>12</v>
      </c>
      <c r="J97" s="50" t="s">
        <v>149</v>
      </c>
      <c r="K97" s="50">
        <v>30</v>
      </c>
      <c r="L97" s="50" t="s">
        <v>166</v>
      </c>
      <c r="M97" s="39" t="s">
        <v>152</v>
      </c>
      <c r="N97" s="50" t="s">
        <v>165</v>
      </c>
      <c r="O97" s="286">
        <v>0.08</v>
      </c>
      <c r="P97" s="286"/>
      <c r="Q97" s="50" t="s">
        <v>166</v>
      </c>
      <c r="R97" s="40"/>
      <c r="S97" s="41"/>
      <c r="T97" s="236"/>
      <c r="U97" s="236"/>
      <c r="V97" s="237"/>
      <c r="W97" s="85" t="s">
        <v>144</v>
      </c>
    </row>
    <row r="99" spans="1:23" x14ac:dyDescent="0.25">
      <c r="A99" s="325" t="s">
        <v>199</v>
      </c>
      <c r="B99" s="325"/>
      <c r="C99" s="325"/>
      <c r="D99" s="325"/>
      <c r="E99" s="325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</row>
    <row r="100" spans="1:23" x14ac:dyDescent="0.25">
      <c r="A100" s="295" t="s">
        <v>200</v>
      </c>
      <c r="B100" s="295"/>
      <c r="C100" s="295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7">
        <v>0.152</v>
      </c>
      <c r="U100" s="298"/>
      <c r="V100" s="298"/>
    </row>
    <row r="101" spans="1:23" x14ac:dyDescent="0.25">
      <c r="A101" s="295" t="s">
        <v>131</v>
      </c>
      <c r="B101" s="295"/>
      <c r="C101" s="295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7">
        <v>0.36799999999999999</v>
      </c>
      <c r="U101" s="298"/>
      <c r="V101" s="298"/>
    </row>
    <row r="102" spans="1:23" x14ac:dyDescent="0.25">
      <c r="A102" s="295" t="s">
        <v>162</v>
      </c>
      <c r="B102" s="295"/>
      <c r="C102" s="295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7">
        <v>5.5300000000000002E-2</v>
      </c>
      <c r="U102" s="298"/>
      <c r="V102" s="298"/>
    </row>
    <row r="103" spans="1:23" x14ac:dyDescent="0.25">
      <c r="A103" s="295" t="s">
        <v>201</v>
      </c>
      <c r="B103" s="295"/>
      <c r="C103" s="295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7">
        <v>0.14680000000000001</v>
      </c>
      <c r="U103" s="298"/>
      <c r="V103" s="298"/>
    </row>
    <row r="104" spans="1:23" x14ac:dyDescent="0.25">
      <c r="A104" s="343" t="s">
        <v>202</v>
      </c>
      <c r="B104" s="343"/>
      <c r="C104" s="343"/>
      <c r="D104" s="344"/>
      <c r="E104" s="344"/>
      <c r="F104" s="344"/>
      <c r="G104" s="344"/>
      <c r="H104" s="344"/>
      <c r="I104" s="344"/>
      <c r="J104" s="344"/>
      <c r="K104" s="344"/>
      <c r="L104" s="344"/>
      <c r="M104" s="344"/>
      <c r="N104" s="344"/>
      <c r="O104" s="344"/>
      <c r="P104" s="344"/>
      <c r="Q104" s="344"/>
      <c r="R104" s="344"/>
      <c r="S104" s="344"/>
      <c r="T104" s="251">
        <f>T100+T101+T102+T103</f>
        <v>0.72210000000000008</v>
      </c>
      <c r="U104" s="252"/>
      <c r="V104" s="252"/>
    </row>
    <row r="105" spans="1:23" x14ac:dyDescent="0.25">
      <c r="A105" s="345" t="s">
        <v>203</v>
      </c>
      <c r="B105" s="346"/>
      <c r="C105" s="346"/>
      <c r="D105" s="346"/>
      <c r="E105" s="346"/>
      <c r="F105" s="346"/>
      <c r="G105" s="346"/>
      <c r="H105" s="346"/>
      <c r="I105" s="346"/>
      <c r="J105" s="346"/>
      <c r="K105" s="346"/>
      <c r="L105" s="346"/>
      <c r="M105" s="346"/>
      <c r="N105" s="346"/>
      <c r="O105" s="346"/>
      <c r="P105" s="346"/>
      <c r="Q105" s="346"/>
      <c r="R105" s="346"/>
      <c r="S105" s="346"/>
      <c r="T105" s="346"/>
      <c r="U105" s="346"/>
      <c r="V105" s="347"/>
    </row>
    <row r="106" spans="1:23" x14ac:dyDescent="0.25">
      <c r="A106" s="348" t="s">
        <v>204</v>
      </c>
      <c r="B106" s="349"/>
      <c r="C106" s="349"/>
      <c r="D106" s="349"/>
      <c r="E106" s="349"/>
      <c r="F106" s="349"/>
      <c r="G106" s="349"/>
      <c r="H106" s="349"/>
      <c r="I106" s="349"/>
      <c r="J106" s="349"/>
      <c r="K106" s="349"/>
      <c r="L106" s="349"/>
      <c r="M106" s="349"/>
      <c r="N106" s="349"/>
      <c r="O106" s="349"/>
      <c r="P106" s="349"/>
      <c r="Q106" s="349"/>
      <c r="R106" s="349"/>
      <c r="S106" s="350"/>
      <c r="T106" s="351">
        <v>0.124</v>
      </c>
      <c r="U106" s="352"/>
      <c r="V106" s="353"/>
    </row>
    <row r="107" spans="1:23" x14ac:dyDescent="0.25">
      <c r="A107" s="348" t="s">
        <v>205</v>
      </c>
      <c r="B107" s="349"/>
      <c r="C107" s="349"/>
      <c r="D107" s="349"/>
      <c r="E107" s="349"/>
      <c r="F107" s="349"/>
      <c r="G107" s="349"/>
      <c r="H107" s="349"/>
      <c r="I107" s="349"/>
      <c r="J107" s="349"/>
      <c r="K107" s="349"/>
      <c r="L107" s="349"/>
      <c r="M107" s="349"/>
      <c r="N107" s="349"/>
      <c r="O107" s="349"/>
      <c r="P107" s="349"/>
      <c r="Q107" s="349"/>
      <c r="R107" s="349"/>
      <c r="S107" s="350"/>
      <c r="T107" s="351">
        <v>8.6499999999999994E-2</v>
      </c>
      <c r="U107" s="352"/>
      <c r="V107" s="353"/>
    </row>
    <row r="108" spans="1:23" x14ac:dyDescent="0.25">
      <c r="A108" s="206" t="s">
        <v>206</v>
      </c>
      <c r="B108" s="206"/>
      <c r="C108" s="206"/>
      <c r="D108" s="207"/>
      <c r="E108" s="207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  <c r="T108" s="208">
        <f>SUM(T100:V107)</f>
        <v>1.6547000000000001</v>
      </c>
      <c r="U108" s="201"/>
      <c r="V108" s="201"/>
    </row>
  </sheetData>
  <mergeCells count="127">
    <mergeCell ref="W50:W51"/>
    <mergeCell ref="A41:V41"/>
    <mergeCell ref="A42:E46"/>
    <mergeCell ref="F42:S45"/>
    <mergeCell ref="T42:V46"/>
    <mergeCell ref="F46:G46"/>
    <mergeCell ref="I46:J46"/>
    <mergeCell ref="L46:M46"/>
    <mergeCell ref="A49:V49"/>
    <mergeCell ref="A50:E54"/>
    <mergeCell ref="F50:S53"/>
    <mergeCell ref="T50:V54"/>
    <mergeCell ref="F54:G54"/>
    <mergeCell ref="I54:J54"/>
    <mergeCell ref="L54:M54"/>
    <mergeCell ref="A108:S108"/>
    <mergeCell ref="T108:V108"/>
    <mergeCell ref="A101:S101"/>
    <mergeCell ref="T101:V101"/>
    <mergeCell ref="A102:S102"/>
    <mergeCell ref="T102:V102"/>
    <mergeCell ref="A103:S103"/>
    <mergeCell ref="T103:V103"/>
    <mergeCell ref="A104:S104"/>
    <mergeCell ref="T104:V104"/>
    <mergeCell ref="A105:V105"/>
    <mergeCell ref="A106:S106"/>
    <mergeCell ref="T106:V106"/>
    <mergeCell ref="A107:S107"/>
    <mergeCell ref="T107:V107"/>
    <mergeCell ref="T15:V17"/>
    <mergeCell ref="F17:L17"/>
    <mergeCell ref="N17:S17"/>
    <mergeCell ref="W22:W24"/>
    <mergeCell ref="A23:N23"/>
    <mergeCell ref="O23:P23"/>
    <mergeCell ref="R23:S23"/>
    <mergeCell ref="T23:V23"/>
    <mergeCell ref="A24:S24"/>
    <mergeCell ref="T24:V24"/>
    <mergeCell ref="A22:S22"/>
    <mergeCell ref="T22:V22"/>
    <mergeCell ref="A100:S100"/>
    <mergeCell ref="T100:V100"/>
    <mergeCell ref="A74:E78"/>
    <mergeCell ref="F74:S77"/>
    <mergeCell ref="T74:V78"/>
    <mergeCell ref="A79:E85"/>
    <mergeCell ref="F79:S84"/>
    <mergeCell ref="T79:V85"/>
    <mergeCell ref="O85:P85"/>
    <mergeCell ref="A86:E91"/>
    <mergeCell ref="F86:S90"/>
    <mergeCell ref="T86:V91"/>
    <mergeCell ref="A92:E97"/>
    <mergeCell ref="F92:S96"/>
    <mergeCell ref="T92:V97"/>
    <mergeCell ref="O97:P97"/>
    <mergeCell ref="A99:V99"/>
    <mergeCell ref="A67:E73"/>
    <mergeCell ref="F67:S72"/>
    <mergeCell ref="T67:V73"/>
    <mergeCell ref="O73:P73"/>
    <mergeCell ref="A56:V56"/>
    <mergeCell ref="A57:E61"/>
    <mergeCell ref="F57:S60"/>
    <mergeCell ref="T57:V61"/>
    <mergeCell ref="F61:G61"/>
    <mergeCell ref="I61:J61"/>
    <mergeCell ref="A63:E66"/>
    <mergeCell ref="F63:S65"/>
    <mergeCell ref="T63:V66"/>
    <mergeCell ref="F66:G66"/>
    <mergeCell ref="I66:J66"/>
    <mergeCell ref="K66:L66"/>
    <mergeCell ref="O66:P66"/>
    <mergeCell ref="A26:V26"/>
    <mergeCell ref="A27:V27"/>
    <mergeCell ref="L30:M30"/>
    <mergeCell ref="O30:P30"/>
    <mergeCell ref="A31:S31"/>
    <mergeCell ref="T31:V31"/>
    <mergeCell ref="A33:V33"/>
    <mergeCell ref="A34:E39"/>
    <mergeCell ref="F34:S38"/>
    <mergeCell ref="T34:V39"/>
    <mergeCell ref="K39:L39"/>
    <mergeCell ref="A28:E30"/>
    <mergeCell ref="F28:S28"/>
    <mergeCell ref="T28:V30"/>
    <mergeCell ref="F30:G30"/>
    <mergeCell ref="I30:J30"/>
    <mergeCell ref="A7:S7"/>
    <mergeCell ref="T7:V7"/>
    <mergeCell ref="A8:S8"/>
    <mergeCell ref="T8:V8"/>
    <mergeCell ref="A9:S9"/>
    <mergeCell ref="T9:V10"/>
    <mergeCell ref="B10:C10"/>
    <mergeCell ref="D10:F10"/>
    <mergeCell ref="A18:E21"/>
    <mergeCell ref="F18:S18"/>
    <mergeCell ref="T18:V21"/>
    <mergeCell ref="F21:G21"/>
    <mergeCell ref="I21:J21"/>
    <mergeCell ref="L21:M21"/>
    <mergeCell ref="I10:K10"/>
    <mergeCell ref="L10:N10"/>
    <mergeCell ref="A11:S11"/>
    <mergeCell ref="T11:V11"/>
    <mergeCell ref="A12:S12"/>
    <mergeCell ref="T12:V12"/>
    <mergeCell ref="A13:V13"/>
    <mergeCell ref="A14:V14"/>
    <mergeCell ref="A15:E17"/>
    <mergeCell ref="F15:S15"/>
    <mergeCell ref="A6:S6"/>
    <mergeCell ref="T6:V6"/>
    <mergeCell ref="A1:V1"/>
    <mergeCell ref="A2:S2"/>
    <mergeCell ref="T2:V2"/>
    <mergeCell ref="A3:S3"/>
    <mergeCell ref="T3:V3"/>
    <mergeCell ref="A4:S4"/>
    <mergeCell ref="T4:V4"/>
    <mergeCell ref="A5:S5"/>
    <mergeCell ref="T5:V5"/>
  </mergeCells>
  <pageMargins left="0.511811024" right="0.511811024" top="0.78740157499999996" bottom="0.78740157499999996" header="0.31496062000000002" footer="0.31496062000000002"/>
  <pageSetup paperSize="9" scale="47" fitToHeight="0" orientation="portrait" horizontalDpi="4294967294" verticalDpi="4294967294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4BB82-AADD-44AA-865A-7AA1DFD35CDB}">
  <dimension ref="A1:E3"/>
  <sheetViews>
    <sheetView workbookViewId="0">
      <selection activeCell="E3" sqref="A1:E3"/>
    </sheetView>
  </sheetViews>
  <sheetFormatPr defaultRowHeight="15" x14ac:dyDescent="0.25"/>
  <cols>
    <col min="1" max="5" width="26.140625" customWidth="1"/>
  </cols>
  <sheetData>
    <row r="1" spans="1:5" x14ac:dyDescent="0.25">
      <c r="A1" s="370" t="s">
        <v>224</v>
      </c>
      <c r="B1" s="371"/>
      <c r="C1" s="371"/>
      <c r="D1" s="371"/>
      <c r="E1" s="372"/>
    </row>
    <row r="2" spans="1:5" ht="30" x14ac:dyDescent="0.25">
      <c r="A2" s="89"/>
      <c r="B2" s="16" t="s">
        <v>225</v>
      </c>
      <c r="C2" s="16" t="s">
        <v>226</v>
      </c>
      <c r="D2" s="16" t="s">
        <v>227</v>
      </c>
      <c r="E2" s="16" t="s">
        <v>228</v>
      </c>
    </row>
    <row r="3" spans="1:5" x14ac:dyDescent="0.25">
      <c r="A3" s="90" t="s">
        <v>229</v>
      </c>
      <c r="B3" s="2">
        <f>'Resumo Geral'!D4</f>
        <v>7589.6448852720114</v>
      </c>
      <c r="C3" s="2">
        <f>B3/30</f>
        <v>252.98816284240038</v>
      </c>
      <c r="D3" s="91">
        <v>200</v>
      </c>
      <c r="E3" s="92">
        <f>D3*C3</f>
        <v>50597.632568480076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A1:F17"/>
  <sheetViews>
    <sheetView tabSelected="1" zoomScaleNormal="100" workbookViewId="0">
      <selection activeCell="E8" sqref="A1:E8"/>
    </sheetView>
  </sheetViews>
  <sheetFormatPr defaultColWidth="8.85546875" defaultRowHeight="15" x14ac:dyDescent="0.25"/>
  <cols>
    <col min="1" max="1" width="4.85546875" style="11" bestFit="1" customWidth="1"/>
    <col min="2" max="2" width="64.5703125" style="11" customWidth="1"/>
    <col min="3" max="3" width="4.7109375" style="11" bestFit="1" customWidth="1"/>
    <col min="4" max="4" width="20.140625" style="11" bestFit="1" customWidth="1"/>
    <col min="5" max="5" width="23.42578125" style="11" bestFit="1" customWidth="1"/>
    <col min="6" max="6" width="13.28515625" style="11" bestFit="1" customWidth="1"/>
    <col min="7" max="16384" width="8.85546875" style="11"/>
  </cols>
  <sheetData>
    <row r="1" spans="1:6" x14ac:dyDescent="0.25">
      <c r="A1" s="190" t="s">
        <v>12</v>
      </c>
      <c r="B1" s="190"/>
      <c r="C1" s="190"/>
      <c r="D1" s="190"/>
      <c r="E1" s="190"/>
    </row>
    <row r="2" spans="1:6" x14ac:dyDescent="0.25">
      <c r="A2" s="373" t="s">
        <v>13</v>
      </c>
      <c r="B2" s="373"/>
      <c r="C2" s="373"/>
      <c r="D2" s="373"/>
      <c r="E2" s="373"/>
    </row>
    <row r="3" spans="1:6" x14ac:dyDescent="0.25">
      <c r="A3" s="13" t="s">
        <v>1</v>
      </c>
      <c r="B3" s="13" t="s">
        <v>14</v>
      </c>
      <c r="C3" s="13" t="s">
        <v>15</v>
      </c>
      <c r="D3" s="13" t="s">
        <v>16</v>
      </c>
      <c r="E3" s="13" t="s">
        <v>17</v>
      </c>
    </row>
    <row r="4" spans="1:6" x14ac:dyDescent="0.25">
      <c r="A4" s="374">
        <v>1</v>
      </c>
      <c r="B4" s="95" t="s">
        <v>230</v>
      </c>
      <c r="C4" s="1">
        <v>13</v>
      </c>
      <c r="D4" s="17">
        <f>Recepcionista!D117</f>
        <v>7589.6448852720114</v>
      </c>
      <c r="E4" s="96">
        <f>C4*D4</f>
        <v>98665.38350853615</v>
      </c>
    </row>
    <row r="5" spans="1:6" x14ac:dyDescent="0.25">
      <c r="A5" s="374"/>
      <c r="B5" s="373" t="s">
        <v>18</v>
      </c>
      <c r="C5" s="373"/>
      <c r="D5" s="373"/>
      <c r="E5" s="93">
        <f>SUM(E4:E4)</f>
        <v>98665.38350853615</v>
      </c>
    </row>
    <row r="6" spans="1:6" x14ac:dyDescent="0.25">
      <c r="A6" s="99"/>
      <c r="B6" s="373" t="s">
        <v>219</v>
      </c>
      <c r="C6" s="373"/>
      <c r="D6" s="373"/>
      <c r="E6" s="93">
        <f>E5*12</f>
        <v>1183984.6021024338</v>
      </c>
      <c r="F6" s="12"/>
    </row>
    <row r="7" spans="1:6" x14ac:dyDescent="0.25">
      <c r="A7" s="97">
        <v>2</v>
      </c>
      <c r="B7" s="373" t="s">
        <v>232</v>
      </c>
      <c r="C7" s="373"/>
      <c r="D7" s="373"/>
      <c r="E7" s="93">
        <f>'Sob Demanda'!E3</f>
        <v>50597.632568480076</v>
      </c>
    </row>
    <row r="8" spans="1:6" x14ac:dyDescent="0.25">
      <c r="A8" s="98"/>
      <c r="B8" s="190" t="s">
        <v>231</v>
      </c>
      <c r="C8" s="190"/>
      <c r="D8" s="190"/>
      <c r="E8" s="94">
        <f>E6+E7</f>
        <v>1234582.2346709138</v>
      </c>
    </row>
    <row r="11" spans="1:6" x14ac:dyDescent="0.2">
      <c r="B11" s="14"/>
    </row>
    <row r="17" spans="2:2" x14ac:dyDescent="0.25">
      <c r="B17" s="15"/>
    </row>
  </sheetData>
  <mergeCells count="7">
    <mergeCell ref="B7:D7"/>
    <mergeCell ref="B8:D8"/>
    <mergeCell ref="A1:E1"/>
    <mergeCell ref="A2:E2"/>
    <mergeCell ref="B5:D5"/>
    <mergeCell ref="B6:D6"/>
    <mergeCell ref="A4:A5"/>
  </mergeCells>
  <pageMargins left="0.511811024" right="0.511811024" top="0.78740157499999996" bottom="0.78740157499999996" header="0.31496062000000002" footer="0.31496062000000002"/>
  <pageSetup paperSize="9" scale="78" fitToHeight="0" orientation="portrait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384f1a-26ac-4e64-8d38-1286b0541ed4">
      <Terms xmlns="http://schemas.microsoft.com/office/infopath/2007/PartnerControls"/>
    </lcf76f155ced4ddcb4097134ff3c332f>
    <TaxCatchAll xmlns="043c51d7-1484-4b42-ae56-96b89c2f4c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BE812253ECDB4BBC7E170F4D66571A" ma:contentTypeVersion="13" ma:contentTypeDescription="Crie um novo documento." ma:contentTypeScope="" ma:versionID="cd9f894c3989fe3bcc543af3bdedc76c">
  <xsd:schema xmlns:xsd="http://www.w3.org/2001/XMLSchema" xmlns:xs="http://www.w3.org/2001/XMLSchema" xmlns:p="http://schemas.microsoft.com/office/2006/metadata/properties" xmlns:ns2="da384f1a-26ac-4e64-8d38-1286b0541ed4" xmlns:ns3="043c51d7-1484-4b42-ae56-96b89c2f4c26" targetNamespace="http://schemas.microsoft.com/office/2006/metadata/properties" ma:root="true" ma:fieldsID="f12de097196f61b4ba6d11985b9fe5f6" ns2:_="" ns3:_="">
    <xsd:import namespace="da384f1a-26ac-4e64-8d38-1286b0541ed4"/>
    <xsd:import namespace="043c51d7-1484-4b42-ae56-96b89c2f4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18d130e2-d8de-4285-9cce-e23c6c017b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c51d7-1484-4b42-ae56-96b89c2f4c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0f890e-6ae9-4959-be41-4bb0ae4ed80a}" ma:internalName="TaxCatchAll" ma:showField="CatchAllData" ma:web="043c51d7-1484-4b42-ae56-96b89c2f4c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6F5932-ADE5-4D21-A637-A432ECA26E3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2C34F9-D328-494A-B613-700B2AB0737A}"/>
</file>

<file path=customXml/itemProps3.xml><?xml version="1.0" encoding="utf-8"?>
<ds:datastoreItem xmlns:ds="http://schemas.openxmlformats.org/officeDocument/2006/customXml" ds:itemID="{786128EC-5193-427A-93DD-9722BAB482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Recepcionista</vt:lpstr>
      <vt:lpstr>Uniforme</vt:lpstr>
      <vt:lpstr>Conta Vinculada</vt:lpstr>
      <vt:lpstr>Memória C.S.</vt:lpstr>
      <vt:lpstr>Sob Demanda</vt:lpstr>
      <vt:lpstr>Resumo Geral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Fabiana</dc:creator>
  <cp:keywords/>
  <dc:description/>
  <cp:lastModifiedBy>Debora Kelly Martins Coelho</cp:lastModifiedBy>
  <cp:revision/>
  <dcterms:created xsi:type="dcterms:W3CDTF">2023-07-17T14:20:49Z</dcterms:created>
  <dcterms:modified xsi:type="dcterms:W3CDTF">2026-03-31T19:15:21Z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2025-05-09T20:06:35Z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4e10ab7b-c5b8-45a5-8b77-4e08baca5992</vt:lpwstr>
  </property>
  <property fmtid="{D5CDD505-2E9C-101B-9397-08002B2CF9AE}" pid="7" name="MSIP_Label_defa4170-0d19-0005-0004-bc88714345d2_ActionId">
    <vt:lpwstr>d0f891f5-c0e7-4409-8fa7-800406c0c6c7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0x01010008BE812253ECDB4BBC7E170F4D66571A</vt:lpwstr>
  </property>
</Properties>
</file>